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/>
  <mc:AlternateContent xmlns:mc="http://schemas.openxmlformats.org/markup-compatibility/2006">
    <mc:Choice Requires="x15">
      <x15ac:absPath xmlns:x15ac="http://schemas.microsoft.com/office/spreadsheetml/2010/11/ac" url="https://liveutad-my.sharepoint.com/personal/joel_yudisi_live_u-tad_com/Documents/Grupo 2 - TFM/Documentación Por Departamentos/Design/DataDrivenExcel/"/>
    </mc:Choice>
  </mc:AlternateContent>
  <xr:revisionPtr revIDLastSave="0" documentId="8_{AF6DEA39-E9A7-43AE-AEB0-F8CA240546CC}" xr6:coauthVersionLast="47" xr6:coauthVersionMax="47" xr10:uidLastSave="{00000000-0000-0000-0000-000000000000}"/>
  <bookViews>
    <workbookView xWindow="-120" yWindow="-120" windowWidth="29040" windowHeight="15720" tabRatio="925" firstSheet="7" activeTab="7" xr2:uid="{00000000-000D-0000-FFFF-FFFF00000000}"/>
  </bookViews>
  <sheets>
    <sheet name="FrancescaData" sheetId="1" r:id="rId1"/>
    <sheet name="EnemyData" sheetId="2" r:id="rId2"/>
    <sheet name="UmbrellaData" sheetId="9" r:id="rId3"/>
    <sheet name="WeaponData" sheetId="3" r:id="rId4"/>
    <sheet name="GrenadeData" sheetId="11" r:id="rId5"/>
    <sheet name="AmmoSystem" sheetId="4" r:id="rId6"/>
    <sheet name="AgencyShieldData" sheetId="10" r:id="rId7"/>
    <sheet name="WeaponsSystems" sheetId="8" r:id="rId8"/>
    <sheet name="CombatStats" sheetId="6" r:id="rId9"/>
    <sheet name="EncounterCheckpoints" sheetId="5" r:id="rId10"/>
    <sheet name="WeaponUpgrades" sheetId="7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" i="4" l="1"/>
  <c r="Q17" i="4"/>
  <c r="AA6" i="4"/>
  <c r="AA7" i="4" s="1"/>
  <c r="Y6" i="4"/>
  <c r="Y7" i="4" s="1"/>
  <c r="W6" i="4"/>
  <c r="W7" i="4" s="1"/>
  <c r="U6" i="4"/>
  <c r="S6" i="4"/>
  <c r="S7" i="4" s="1"/>
  <c r="K2" i="3"/>
  <c r="G119" i="8"/>
  <c r="H137" i="8"/>
  <c r="G137" i="8"/>
  <c r="E137" i="8"/>
  <c r="H119" i="8"/>
  <c r="E119" i="8"/>
  <c r="G84" i="8"/>
  <c r="E84" i="8"/>
  <c r="G49" i="8"/>
  <c r="E49" i="8"/>
  <c r="J2" i="3"/>
  <c r="O2" i="3"/>
  <c r="J3" i="3"/>
  <c r="K3" i="3"/>
  <c r="O3" i="3"/>
  <c r="F137" i="8" s="1"/>
  <c r="Q18" i="4" l="1"/>
  <c r="Q15" i="4"/>
  <c r="Q14" i="4"/>
  <c r="B119" i="8"/>
  <c r="B6" i="7"/>
  <c r="B2" i="7"/>
  <c r="B2" i="4"/>
  <c r="A2" i="4"/>
  <c r="D37" i="6"/>
  <c r="D29" i="8"/>
  <c r="C29" i="8"/>
  <c r="B29" i="8"/>
  <c r="W2" i="9"/>
  <c r="K2" i="9"/>
  <c r="J2" i="9"/>
  <c r="B137" i="8"/>
  <c r="D84" i="8"/>
  <c r="B121" i="8"/>
  <c r="C121" i="8" s="1"/>
  <c r="D49" i="8"/>
  <c r="B49" i="8"/>
  <c r="B84" i="8"/>
  <c r="B86" i="8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C84" i="8"/>
  <c r="B51" i="8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C49" i="8"/>
  <c r="C53" i="8" s="1"/>
  <c r="B31" i="8"/>
  <c r="B32" i="8" s="1"/>
  <c r="B33" i="8" s="1"/>
  <c r="B34" i="8" s="1"/>
  <c r="B35" i="8" s="1"/>
  <c r="B36" i="8" s="1"/>
  <c r="B37" i="8" s="1"/>
  <c r="B38" i="8" s="1"/>
  <c r="C20" i="8"/>
  <c r="E8" i="1"/>
  <c r="D21" i="8"/>
  <c r="D22" i="8"/>
  <c r="D23" i="8"/>
  <c r="D24" i="8"/>
  <c r="F24" i="8" s="1"/>
  <c r="D25" i="8"/>
  <c r="D20" i="8"/>
  <c r="F20" i="8" s="1"/>
  <c r="C21" i="8"/>
  <c r="C22" i="8"/>
  <c r="C23" i="8"/>
  <c r="C24" i="8"/>
  <c r="C25" i="8"/>
  <c r="F2" i="1"/>
  <c r="F8" i="1" s="1"/>
  <c r="F11" i="8"/>
  <c r="G11" i="8" s="1"/>
  <c r="F12" i="8"/>
  <c r="G12" i="8" s="1"/>
  <c r="F13" i="8"/>
  <c r="G13" i="8" s="1"/>
  <c r="F14" i="8"/>
  <c r="G14" i="8" s="1"/>
  <c r="F15" i="8"/>
  <c r="G15" i="8" s="1"/>
  <c r="F10" i="8"/>
  <c r="G10" i="8" s="1"/>
  <c r="E11" i="8"/>
  <c r="E12" i="8"/>
  <c r="E13" i="8"/>
  <c r="E14" i="8"/>
  <c r="E15" i="8"/>
  <c r="E10" i="8"/>
  <c r="D11" i="8"/>
  <c r="D12" i="8"/>
  <c r="D13" i="8"/>
  <c r="D14" i="8"/>
  <c r="D15" i="8"/>
  <c r="D10" i="8"/>
  <c r="D3" i="8"/>
  <c r="F4" i="8"/>
  <c r="G4" i="8" s="1"/>
  <c r="F5" i="8"/>
  <c r="G5" i="8" s="1"/>
  <c r="F6" i="8"/>
  <c r="G6" i="8" s="1"/>
  <c r="F7" i="8"/>
  <c r="G7" i="8" s="1"/>
  <c r="F8" i="8"/>
  <c r="G8" i="8" s="1"/>
  <c r="E4" i="8"/>
  <c r="E5" i="8"/>
  <c r="E6" i="8"/>
  <c r="E7" i="8"/>
  <c r="E8" i="8"/>
  <c r="E3" i="8"/>
  <c r="D4" i="8"/>
  <c r="D5" i="8"/>
  <c r="D6" i="8"/>
  <c r="D7" i="8"/>
  <c r="D8" i="8"/>
  <c r="F3" i="8"/>
  <c r="G3" i="8" s="1"/>
  <c r="B7" i="7"/>
  <c r="C5" i="4"/>
  <c r="D39" i="6"/>
  <c r="D38" i="6"/>
  <c r="F16" i="1" l="1"/>
  <c r="F12" i="1"/>
  <c r="F13" i="1"/>
  <c r="F14" i="1"/>
  <c r="F15" i="1"/>
  <c r="F11" i="1"/>
  <c r="E12" i="1"/>
  <c r="E13" i="1"/>
  <c r="E14" i="1"/>
  <c r="E15" i="1"/>
  <c r="E16" i="1"/>
  <c r="E11" i="1"/>
  <c r="C51" i="8"/>
  <c r="B146" i="8"/>
  <c r="C146" i="8" s="1"/>
  <c r="B140" i="8"/>
  <c r="C140" i="8" s="1"/>
  <c r="B39" i="8"/>
  <c r="G31" i="6"/>
  <c r="B145" i="8"/>
  <c r="C145" i="8" s="1"/>
  <c r="B144" i="8"/>
  <c r="C144" i="8" s="1"/>
  <c r="C103" i="8"/>
  <c r="B143" i="8"/>
  <c r="C143" i="8" s="1"/>
  <c r="C62" i="8"/>
  <c r="B142" i="8"/>
  <c r="C142" i="8" s="1"/>
  <c r="B141" i="8"/>
  <c r="C141" i="8" s="1"/>
  <c r="B139" i="8"/>
  <c r="C139" i="8" s="1"/>
  <c r="B148" i="8"/>
  <c r="C148" i="8" s="1"/>
  <c r="C55" i="8"/>
  <c r="B147" i="8"/>
  <c r="C147" i="8" s="1"/>
  <c r="C116" i="8"/>
  <c r="C106" i="8"/>
  <c r="C105" i="8"/>
  <c r="C115" i="8"/>
  <c r="C114" i="8"/>
  <c r="C73" i="8"/>
  <c r="C104" i="8"/>
  <c r="C74" i="8"/>
  <c r="C72" i="8"/>
  <c r="C86" i="8"/>
  <c r="C102" i="8"/>
  <c r="C56" i="8"/>
  <c r="C61" i="8"/>
  <c r="C93" i="8"/>
  <c r="C60" i="8"/>
  <c r="C92" i="8"/>
  <c r="C91" i="8"/>
  <c r="C90" i="8"/>
  <c r="C59" i="8"/>
  <c r="C66" i="8"/>
  <c r="C109" i="8"/>
  <c r="C97" i="8"/>
  <c r="C79" i="8"/>
  <c r="C78" i="8"/>
  <c r="C54" i="8"/>
  <c r="C77" i="8"/>
  <c r="C65" i="8"/>
  <c r="C108" i="8"/>
  <c r="C96" i="8"/>
  <c r="C76" i="8"/>
  <c r="C64" i="8"/>
  <c r="C52" i="8"/>
  <c r="C107" i="8"/>
  <c r="C95" i="8"/>
  <c r="C75" i="8"/>
  <c r="C63" i="8"/>
  <c r="C94" i="8"/>
  <c r="C58" i="8"/>
  <c r="C113" i="8"/>
  <c r="C89" i="8"/>
  <c r="C81" i="8"/>
  <c r="C69" i="8"/>
  <c r="C57" i="8"/>
  <c r="C112" i="8"/>
  <c r="C100" i="8"/>
  <c r="C88" i="8"/>
  <c r="C71" i="8"/>
  <c r="C70" i="8"/>
  <c r="C101" i="8"/>
  <c r="C80" i="8"/>
  <c r="C68" i="8"/>
  <c r="C111" i="8"/>
  <c r="C99" i="8"/>
  <c r="C87" i="8"/>
  <c r="C67" i="8"/>
  <c r="C110" i="8"/>
  <c r="C98" i="8"/>
  <c r="C31" i="8"/>
  <c r="C37" i="8"/>
  <c r="C36" i="8"/>
  <c r="C32" i="8"/>
  <c r="C35" i="8"/>
  <c r="C34" i="8"/>
  <c r="C38" i="8"/>
  <c r="C39" i="8"/>
  <c r="D121" i="8"/>
  <c r="E121" i="8" s="1"/>
  <c r="B122" i="8"/>
  <c r="B129" i="8"/>
  <c r="C129" i="8" s="1"/>
  <c r="B128" i="8"/>
  <c r="C128" i="8" s="1"/>
  <c r="B130" i="8"/>
  <c r="C130" i="8" s="1"/>
  <c r="B127" i="8"/>
  <c r="C127" i="8" s="1"/>
  <c r="B124" i="8"/>
  <c r="C124" i="8" s="1"/>
  <c r="B126" i="8"/>
  <c r="B125" i="8"/>
  <c r="B123" i="8"/>
  <c r="C33" i="8"/>
  <c r="G20" i="8"/>
  <c r="E20" i="8"/>
  <c r="H20" i="8" s="1"/>
  <c r="K20" i="8" s="1"/>
  <c r="F23" i="8"/>
  <c r="H10" i="8"/>
  <c r="F25" i="8"/>
  <c r="F22" i="8"/>
  <c r="F21" i="8"/>
  <c r="G23" i="8"/>
  <c r="G25" i="8"/>
  <c r="E21" i="8"/>
  <c r="E25" i="8"/>
  <c r="H25" i="8" s="1"/>
  <c r="K25" i="8" s="1"/>
  <c r="G24" i="8"/>
  <c r="G22" i="8"/>
  <c r="G21" i="8"/>
  <c r="E22" i="8"/>
  <c r="H22" i="8" s="1"/>
  <c r="K22" i="8" s="1"/>
  <c r="E23" i="8"/>
  <c r="H23" i="8" s="1"/>
  <c r="K23" i="8" s="1"/>
  <c r="E24" i="8"/>
  <c r="H24" i="8" s="1"/>
  <c r="K24" i="8" s="1"/>
  <c r="H3" i="8"/>
  <c r="H12" i="8"/>
  <c r="H15" i="8"/>
  <c r="H14" i="8"/>
  <c r="H13" i="8"/>
  <c r="H11" i="8"/>
  <c r="H8" i="8"/>
  <c r="H7" i="8"/>
  <c r="H6" i="8"/>
  <c r="H5" i="8"/>
  <c r="H4" i="8"/>
  <c r="C2" i="4"/>
  <c r="D5" i="4" s="1"/>
  <c r="H21" i="8" l="1"/>
  <c r="K21" i="8" s="1"/>
  <c r="D146" i="8"/>
  <c r="E146" i="8" s="1"/>
  <c r="F146" i="8" s="1"/>
  <c r="D144" i="8"/>
  <c r="E144" i="8" s="1"/>
  <c r="F144" i="8" s="1"/>
  <c r="D140" i="8"/>
  <c r="E140" i="8" s="1"/>
  <c r="F140" i="8" s="1"/>
  <c r="C122" i="8"/>
  <c r="D143" i="8"/>
  <c r="E143" i="8" s="1"/>
  <c r="F143" i="8" s="1"/>
  <c r="D148" i="8"/>
  <c r="E148" i="8" s="1"/>
  <c r="F148" i="8" s="1"/>
  <c r="D141" i="8"/>
  <c r="E141" i="8" s="1"/>
  <c r="F141" i="8" s="1"/>
  <c r="D142" i="8"/>
  <c r="E142" i="8" s="1"/>
  <c r="F142" i="8" s="1"/>
  <c r="D139" i="8"/>
  <c r="E139" i="8" s="1"/>
  <c r="F139" i="8" s="1"/>
  <c r="D147" i="8"/>
  <c r="E147" i="8" s="1"/>
  <c r="F147" i="8" s="1"/>
  <c r="D145" i="8"/>
  <c r="E145" i="8" s="1"/>
  <c r="F145" i="8" s="1"/>
  <c r="B40" i="8"/>
  <c r="G32" i="6"/>
  <c r="G22" i="6" a="1"/>
  <c r="G22" i="6" s="1"/>
  <c r="H22" i="6" s="1"/>
  <c r="G21" i="6" a="1"/>
  <c r="G21" i="6" s="1"/>
  <c r="H21" i="6" s="1"/>
  <c r="G20" i="6" a="1"/>
  <c r="G20" i="6" s="1"/>
  <c r="H20" i="6" s="1"/>
  <c r="G15" i="6" a="1"/>
  <c r="G15" i="6" s="1"/>
  <c r="H15" i="6" s="1"/>
  <c r="G14" i="6" a="1"/>
  <c r="G14" i="6" s="1"/>
  <c r="H14" i="6" s="1"/>
  <c r="G13" i="6" a="1"/>
  <c r="G13" i="6" s="1"/>
  <c r="H13" i="6" s="1"/>
  <c r="G19" i="6" a="1"/>
  <c r="G19" i="6" s="1"/>
  <c r="H19" i="6" s="1"/>
  <c r="G18" i="6" a="1"/>
  <c r="G18" i="6" s="1"/>
  <c r="H18" i="6" s="1"/>
  <c r="G17" i="6" a="1"/>
  <c r="G17" i="6" s="1"/>
  <c r="H17" i="6" s="1"/>
  <c r="G10" i="6" a="1"/>
  <c r="G10" i="6" s="1"/>
  <c r="H10" i="6" s="1"/>
  <c r="G11" i="6" a="1"/>
  <c r="G11" i="6" s="1"/>
  <c r="H11" i="6" s="1"/>
  <c r="G12" i="6" a="1"/>
  <c r="G12" i="6" s="1"/>
  <c r="H12" i="6" s="1"/>
  <c r="G28" i="6" a="1"/>
  <c r="G28" i="6" s="1"/>
  <c r="H28" i="6" s="1"/>
  <c r="G29" i="6" a="1"/>
  <c r="G29" i="6" s="1"/>
  <c r="H29" i="6" s="1"/>
  <c r="G27" i="6" a="1"/>
  <c r="G27" i="6" s="1"/>
  <c r="H27" i="6" s="1"/>
  <c r="G7" i="6" a="1"/>
  <c r="G7" i="6" s="1"/>
  <c r="H7" i="6" s="1"/>
  <c r="G8" i="6" a="1"/>
  <c r="G8" i="6" s="1"/>
  <c r="H8" i="6" s="1"/>
  <c r="G6" i="6" a="1"/>
  <c r="G6" i="6" s="1"/>
  <c r="H6" i="6" s="1"/>
  <c r="G4" i="6" a="1"/>
  <c r="G4" i="6" s="1"/>
  <c r="H4" i="6" s="1"/>
  <c r="G26" i="6" a="1"/>
  <c r="G26" i="6" s="1"/>
  <c r="H26" i="6" s="1"/>
  <c r="G5" i="6" a="1"/>
  <c r="G5" i="6" s="1"/>
  <c r="H5" i="6" s="1"/>
  <c r="G3" i="6" a="1"/>
  <c r="G3" i="6" s="1"/>
  <c r="H3" i="6" s="1"/>
  <c r="G24" i="6" a="1"/>
  <c r="G24" i="6" s="1"/>
  <c r="H24" i="6" s="1"/>
  <c r="G25" i="6" a="1"/>
  <c r="G25" i="6" s="1"/>
  <c r="H25" i="6" s="1"/>
  <c r="F121" i="8"/>
  <c r="D122" i="8"/>
  <c r="D129" i="8"/>
  <c r="E129" i="8" s="1"/>
  <c r="F129" i="8" s="1"/>
  <c r="D128" i="8"/>
  <c r="E128" i="8" s="1"/>
  <c r="F128" i="8" s="1"/>
  <c r="D124" i="8"/>
  <c r="E124" i="8" s="1"/>
  <c r="F124" i="8" s="1"/>
  <c r="D127" i="8"/>
  <c r="E127" i="8" s="1"/>
  <c r="F127" i="8" s="1"/>
  <c r="D130" i="8"/>
  <c r="E130" i="8" s="1"/>
  <c r="F130" i="8" s="1"/>
  <c r="C123" i="8"/>
  <c r="D123" i="8"/>
  <c r="C125" i="8"/>
  <c r="D125" i="8"/>
  <c r="C126" i="8"/>
  <c r="D126" i="8"/>
  <c r="J20" i="8"/>
  <c r="I20" i="8"/>
  <c r="I24" i="8"/>
  <c r="I23" i="8"/>
  <c r="I25" i="8"/>
  <c r="I22" i="8"/>
  <c r="I21" i="8"/>
  <c r="J21" i="8"/>
  <c r="J22" i="8"/>
  <c r="J25" i="8"/>
  <c r="J24" i="8"/>
  <c r="J23" i="8"/>
  <c r="A16" i="4"/>
  <c r="C16" i="4" s="1"/>
  <c r="A14" i="4"/>
  <c r="B14" i="4" s="1"/>
  <c r="E14" i="4" s="1"/>
  <c r="A10" i="4"/>
  <c r="C10" i="4" s="1"/>
  <c r="A9" i="4"/>
  <c r="D9" i="4" s="1"/>
  <c r="A8" i="4"/>
  <c r="B8" i="4" s="1"/>
  <c r="E8" i="4" s="1"/>
  <c r="A15" i="4"/>
  <c r="B15" i="4" s="1"/>
  <c r="E15" i="4" s="1"/>
  <c r="A13" i="4"/>
  <c r="B13" i="4" s="1"/>
  <c r="E13" i="4" s="1"/>
  <c r="A11" i="4"/>
  <c r="D11" i="4" s="1"/>
  <c r="A12" i="4"/>
  <c r="C12" i="4" s="1"/>
  <c r="E122" i="8" l="1"/>
  <c r="F122" i="8" s="1"/>
  <c r="B41" i="8"/>
  <c r="G33" i="6"/>
  <c r="C40" i="8"/>
  <c r="F149" i="8"/>
  <c r="E126" i="8"/>
  <c r="F126" i="8" s="1"/>
  <c r="E125" i="8"/>
  <c r="F125" i="8" s="1"/>
  <c r="E123" i="8"/>
  <c r="F123" i="8" s="1"/>
  <c r="K26" i="8"/>
  <c r="D14" i="4"/>
  <c r="C14" i="4"/>
  <c r="B10" i="4"/>
  <c r="E10" i="4" s="1"/>
  <c r="D10" i="4"/>
  <c r="D12" i="4"/>
  <c r="C15" i="4"/>
  <c r="D8" i="4"/>
  <c r="D15" i="4"/>
  <c r="C8" i="4"/>
  <c r="D13" i="4"/>
  <c r="C13" i="4"/>
  <c r="C11" i="4"/>
  <c r="B11" i="4"/>
  <c r="E11" i="4" s="1"/>
  <c r="B12" i="4"/>
  <c r="E12" i="4" s="1"/>
  <c r="C9" i="4"/>
  <c r="B9" i="4"/>
  <c r="E9" i="4" s="1"/>
  <c r="F9" i="4" s="1"/>
  <c r="B16" i="4"/>
  <c r="E16" i="4" s="1"/>
  <c r="D16" i="4"/>
  <c r="F14" i="4"/>
  <c r="B42" i="8" l="1"/>
  <c r="C41" i="8"/>
  <c r="F16" i="4"/>
  <c r="F15" i="4"/>
  <c r="F10" i="4"/>
  <c r="F131" i="8"/>
  <c r="F12" i="4"/>
  <c r="F11" i="4"/>
  <c r="F13" i="4"/>
  <c r="F8" i="4"/>
  <c r="B43" i="8" l="1"/>
  <c r="C42" i="8"/>
  <c r="B44" i="8" l="1"/>
  <c r="C43" i="8"/>
  <c r="B45" i="8" l="1"/>
  <c r="C44" i="8"/>
  <c r="B46" i="8" l="1"/>
  <c r="C46" i="8" s="1"/>
  <c r="C45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<sst xmlns="http://schemas.openxmlformats.org/spreadsheetml/2006/main" count="370" uniqueCount="257">
  <si>
    <t>MaxHealth</t>
  </si>
  <si>
    <t>RegenerationCooldown</t>
  </si>
  <si>
    <t>RegenerationValue</t>
  </si>
  <si>
    <t>RegenerationSpeed</t>
  </si>
  <si>
    <t>HealthRegenerateFactor</t>
  </si>
  <si>
    <t>WalkSpeed</t>
  </si>
  <si>
    <t>StrafeAimingSpeed</t>
  </si>
  <si>
    <t>StrafeShieldingSpeed</t>
  </si>
  <si>
    <t>OnCoverSpeed</t>
  </si>
  <si>
    <t>OnTalkingSpeed</t>
  </si>
  <si>
    <t>MaxJumpHeight</t>
  </si>
  <si>
    <t>MaxJumpDistance</t>
  </si>
  <si>
    <t>AirControl</t>
  </si>
  <si>
    <t>KickStaggerTime</t>
  </si>
  <si>
    <t>DartStunTime</t>
  </si>
  <si>
    <t>BP_Character</t>
  </si>
  <si>
    <t>No entiendo el uso de este valor. Ahorita el valor de regeneración de vida viene determinado por una curva de regen.</t>
  </si>
  <si>
    <t>Especificar el uso del valor pls.</t>
  </si>
  <si>
    <t>Health System Curve</t>
  </si>
  <si>
    <t>Tiempo para curarse</t>
  </si>
  <si>
    <t>Max HP</t>
  </si>
  <si>
    <t>HPS Inicial</t>
  </si>
  <si>
    <t>Constante de H</t>
  </si>
  <si>
    <t>Tiempo Actual</t>
  </si>
  <si>
    <t>HPS En el tiempo</t>
  </si>
  <si>
    <t>Vida Recuperada</t>
  </si>
  <si>
    <t>MaxSpeed</t>
  </si>
  <si>
    <t>AimHandling</t>
  </si>
  <si>
    <t>CloseCombatSpeed</t>
  </si>
  <si>
    <t>EnterArenaSpeed</t>
  </si>
  <si>
    <t>FleeSpeed</t>
  </si>
  <si>
    <t>Patrol Speed</t>
  </si>
  <si>
    <t>MoveTo Cover Speed</t>
  </si>
  <si>
    <t>MoveTo Between Cover Speed</t>
  </si>
  <si>
    <t>Move Around Cover Speed</t>
  </si>
  <si>
    <t>Max Num Rafagues</t>
  </si>
  <si>
    <t>Min Num Rafagues</t>
  </si>
  <si>
    <t>BP_MafiaCharacter</t>
  </si>
  <si>
    <t>BP_RegularAgencyCharacter</t>
  </si>
  <si>
    <t>No se usa, cada una de las especilizaciones de speed modifican el maxSpeed del character</t>
  </si>
  <si>
    <t>Esto no existe, los enemigos apuntan todo el tiempo y son las speed especificas las que setean la maxspeed</t>
  </si>
  <si>
    <t>esta speed se pone a enemigos que salen de edificios / puertas en eventos.</t>
  </si>
  <si>
    <t>este speed es para avanzar entre covers tanto para flanker/biter</t>
  </si>
  <si>
    <t>esta speed es para los biters cuando se mueven alrededor de una cover</t>
  </si>
  <si>
    <t>maximo numero de rafagas que disparan los biters antes de avanzar</t>
  </si>
  <si>
    <t>minimo numero de rafagas que disparan los biters antes de avanzar</t>
  </si>
  <si>
    <t>Fire Rate</t>
  </si>
  <si>
    <t>Reloading time</t>
  </si>
  <si>
    <t>MagazineCapacity</t>
  </si>
  <si>
    <t>StoredAmmoCapacity</t>
  </si>
  <si>
    <t>ShotgunMaxRange</t>
  </si>
  <si>
    <t>DamagePerProjectileMin</t>
  </si>
  <si>
    <t>DamagePerProjectileMax</t>
  </si>
  <si>
    <t>ProjectileCount</t>
  </si>
  <si>
    <t>DPS</t>
  </si>
  <si>
    <t>MaxShotDMG</t>
  </si>
  <si>
    <t>DMGMultiplierCylinderRadius</t>
  </si>
  <si>
    <t>HookMaxRange</t>
  </si>
  <si>
    <t>DartCooldown</t>
  </si>
  <si>
    <t>ShieldEndurance</t>
  </si>
  <si>
    <t>ShieldRegenerationSpeed</t>
  </si>
  <si>
    <t>ShieldTimetoRegenerate</t>
  </si>
  <si>
    <t>StunTimePostShieldBrake</t>
  </si>
  <si>
    <t>MeleeDMG</t>
  </si>
  <si>
    <t>MeleeMaxRange</t>
  </si>
  <si>
    <t>MeleeAttackCadence</t>
  </si>
  <si>
    <t>MeleeAttackCooldown</t>
  </si>
  <si>
    <t>MeleeDPS</t>
  </si>
  <si>
    <t>BP_Umbrella</t>
  </si>
  <si>
    <t>FireRate</t>
  </si>
  <si>
    <t>ReloadingTime</t>
  </si>
  <si>
    <t>MaximumRange</t>
  </si>
  <si>
    <t>TotalHitDMG</t>
  </si>
  <si>
    <t>DartChargeTime</t>
  </si>
  <si>
    <t>DistanciaDisparoMin</t>
  </si>
  <si>
    <t>DistanciaDisparoMax</t>
  </si>
  <si>
    <t>ProbFalloMin</t>
  </si>
  <si>
    <t>ProbFalloMax</t>
  </si>
  <si>
    <t>PendienteFalloffDmgIZQ</t>
  </si>
  <si>
    <t>PendienteFalloffDmgDCH</t>
  </si>
  <si>
    <t>BP_Fnab</t>
  </si>
  <si>
    <t>BP_Beretta</t>
  </si>
  <si>
    <t>MinDmg</t>
  </si>
  <si>
    <t>MaxDmg</t>
  </si>
  <si>
    <t>SphereDmgRadius</t>
  </si>
  <si>
    <t>BP_Grenade</t>
  </si>
  <si>
    <t>Max Charged Ammo</t>
  </si>
  <si>
    <t>Max Magazine Ammo</t>
  </si>
  <si>
    <t>Max Total Ammo</t>
  </si>
  <si>
    <t>Munición total del player</t>
  </si>
  <si>
    <t>Prob. Drop</t>
  </si>
  <si>
    <t>Min Ammo</t>
  </si>
  <si>
    <t>Max Ammo</t>
  </si>
  <si>
    <t>Para recalcular los drops, pulsar F9</t>
  </si>
  <si>
    <t>Minimo de balas disparadas</t>
  </si>
  <si>
    <t>Baja</t>
  </si>
  <si>
    <t>Lvl1</t>
  </si>
  <si>
    <t>Lv2</t>
  </si>
  <si>
    <t>Lvl3</t>
  </si>
  <si>
    <t>Lvl4</t>
  </si>
  <si>
    <t>Lvl5</t>
  </si>
  <si>
    <t>Media</t>
  </si>
  <si>
    <t>Puertas/FE</t>
  </si>
  <si>
    <t>Enemigos</t>
  </si>
  <si>
    <t>Actual Ammo</t>
  </si>
  <si>
    <t>Actual Magazine Ammo</t>
  </si>
  <si>
    <t>Actual Total Ammo</t>
  </si>
  <si>
    <t>% Ammo Respecto al Total</t>
  </si>
  <si>
    <t>Alta</t>
  </si>
  <si>
    <t>TotalLvl1</t>
  </si>
  <si>
    <t>TotalLvl2</t>
  </si>
  <si>
    <t>TotalLvl3</t>
  </si>
  <si>
    <t>TotalLvl4</t>
  </si>
  <si>
    <t>TotalLvl5</t>
  </si>
  <si>
    <t>Cantidad de Ammo</t>
  </si>
  <si>
    <t>Probabilidad de Drop</t>
  </si>
  <si>
    <t>Min de Balas</t>
  </si>
  <si>
    <t>Max de Balas</t>
  </si>
  <si>
    <t>Drop Ocurre?</t>
  </si>
  <si>
    <t>Balas Dropeadas</t>
  </si>
  <si>
    <t>Permisivo</t>
  </si>
  <si>
    <t>FactorPermisividad</t>
  </si>
  <si>
    <t>BalasTotales</t>
  </si>
  <si>
    <t>BalasTotalesPermisivo</t>
  </si>
  <si>
    <t>MediaBalasLvl</t>
  </si>
  <si>
    <t>MediaBalasPermisivoLvl</t>
  </si>
  <si>
    <t>Endurance</t>
  </si>
  <si>
    <t>BP_AgencyShield</t>
  </si>
  <si>
    <t>Enemy Damage Increase Over Time (TOMMYGUN)</t>
  </si>
  <si>
    <t>Actual Time</t>
  </si>
  <si>
    <t>Max Time</t>
  </si>
  <si>
    <t>Min DMG</t>
  </si>
  <si>
    <t>Max DMG</t>
  </si>
  <si>
    <t>Normalized Time</t>
  </si>
  <si>
    <t>EaseInOutQuad</t>
  </si>
  <si>
    <t>Actual DMG</t>
  </si>
  <si>
    <t>Enemy Damage Increase Over Time (BERETTA)</t>
  </si>
  <si>
    <t>Pellet Dispersion Calculation (FRANCESCA)</t>
  </si>
  <si>
    <t>To recompute shots press F9</t>
  </si>
  <si>
    <t>Actual Range</t>
  </si>
  <si>
    <t>Angle X Min</t>
  </si>
  <si>
    <t>Angle X Max</t>
  </si>
  <si>
    <t>Angle Z Min</t>
  </si>
  <si>
    <t>Angle Z Max</t>
  </si>
  <si>
    <t>Extra DMG Radius</t>
  </si>
  <si>
    <t>Max Dispersion</t>
  </si>
  <si>
    <t>DMG Multiplier</t>
  </si>
  <si>
    <t>Projectile</t>
  </si>
  <si>
    <t>Angle X (º)</t>
  </si>
  <si>
    <t>Angle Z (º)</t>
  </si>
  <si>
    <t>X Impact</t>
  </si>
  <si>
    <t>Y Impact</t>
  </si>
  <si>
    <t>Z Impact</t>
  </si>
  <si>
    <t>Is extra DMG done?</t>
  </si>
  <si>
    <t>Adjusted Dispersion X</t>
  </si>
  <si>
    <t>Adjusted Dispersion Z</t>
  </si>
  <si>
    <t>Damage per Pellet</t>
  </si>
  <si>
    <t>To Recompute every shot press F9</t>
  </si>
  <si>
    <t>Total DMG</t>
  </si>
  <si>
    <t>Falloff de Daño (FRANCESCA)</t>
  </si>
  <si>
    <t>Max Distance</t>
  </si>
  <si>
    <t>Distance Passing</t>
  </si>
  <si>
    <t>Falloff Factor</t>
  </si>
  <si>
    <t>Distances:</t>
  </si>
  <si>
    <t>DMG:</t>
  </si>
  <si>
    <t>Enemy Falloff Calculations (MAFIA)</t>
  </si>
  <si>
    <t>Left Falloff</t>
  </si>
  <si>
    <t>Avg Distance</t>
  </si>
  <si>
    <t>Right Falloff</t>
  </si>
  <si>
    <t>Distance passing</t>
  </si>
  <si>
    <t>Enemy Falloff Calculations (AGENCY)</t>
  </si>
  <si>
    <t>Enemy miss simulation (MAFIA)</t>
  </si>
  <si>
    <t xml:space="preserve">Miss Prob. </t>
  </si>
  <si>
    <t>Player Width</t>
  </si>
  <si>
    <t>Player Height</t>
  </si>
  <si>
    <t>MIN Shot Distance</t>
  </si>
  <si>
    <t>MAX Shot Distance</t>
  </si>
  <si>
    <t>Prob. Miss Min.</t>
  </si>
  <si>
    <t>Prob. Miss Max.</t>
  </si>
  <si>
    <t>Actual Distance</t>
  </si>
  <si>
    <t>¿Miss?</t>
  </si>
  <si>
    <t>X (cm)</t>
  </si>
  <si>
    <t>Z (cm)</t>
  </si>
  <si>
    <t>¿Impact?</t>
  </si>
  <si>
    <t>DMG Done</t>
  </si>
  <si>
    <t>Total DMG done to Player</t>
  </si>
  <si>
    <t>Para recalcular los disparos, pulsar F9</t>
  </si>
  <si>
    <t>Enemy Miss Simulation (AGENCY)</t>
  </si>
  <si>
    <t>Para recalcular los proyectiles, pulsar F9</t>
  </si>
  <si>
    <t>A comprobar</t>
  </si>
  <si>
    <t>Caso</t>
  </si>
  <si>
    <t>Tipo Enemigo</t>
  </si>
  <si>
    <t>Cantidad Enemigos</t>
  </si>
  <si>
    <t>Distancia de Disparo (Max 1500)</t>
  </si>
  <si>
    <t>Tiempo Total (seg)</t>
  </si>
  <si>
    <t>TiempoTotalConRecarga (seg)</t>
  </si>
  <si>
    <t>Vida de Francesca</t>
  </si>
  <si>
    <t>Distancia 100</t>
  </si>
  <si>
    <t>Mejor</t>
  </si>
  <si>
    <t>Mafia</t>
  </si>
  <si>
    <t>Medio</t>
  </si>
  <si>
    <t>Peor</t>
  </si>
  <si>
    <t>Agency</t>
  </si>
  <si>
    <t>Distancia 750</t>
  </si>
  <si>
    <t>Distancia 1500</t>
  </si>
  <si>
    <t>Durabilidad Escudo Francesca</t>
  </si>
  <si>
    <t>Durabilidad Escudo Agencia por Disparo</t>
  </si>
  <si>
    <t>ShieldedAgent</t>
  </si>
  <si>
    <t>Enemigo</t>
  </si>
  <si>
    <t>Tiempo (seg)</t>
  </si>
  <si>
    <t>Tiempo disparando hasta recarga</t>
  </si>
  <si>
    <t>Francesca</t>
  </si>
  <si>
    <t>Agencia</t>
  </si>
  <si>
    <t>ButtonId</t>
  </si>
  <si>
    <t>Level</t>
  </si>
  <si>
    <t>LevelName</t>
  </si>
  <si>
    <t>Identifier</t>
  </si>
  <si>
    <t>EncounterName</t>
  </si>
  <si>
    <t>CheckPoint01</t>
  </si>
  <si>
    <t>L_Streets_Persistent</t>
  </si>
  <si>
    <t>Encounter_Streets_1</t>
  </si>
  <si>
    <t>CheckPoint02</t>
  </si>
  <si>
    <t>Encounter_Streets_2</t>
  </si>
  <si>
    <t>CheckPoint03</t>
  </si>
  <si>
    <t>Encounter_Streets_3</t>
  </si>
  <si>
    <t>CheckPoint04</t>
  </si>
  <si>
    <t>Encounter_Streets_4</t>
  </si>
  <si>
    <t>CheckPoint05</t>
  </si>
  <si>
    <t>Encounter_Streets_5</t>
  </si>
  <si>
    <t>CheckPoint06</t>
  </si>
  <si>
    <t>Encounter_Streets_6</t>
  </si>
  <si>
    <t>CheckPoint07</t>
  </si>
  <si>
    <t>L_Museum_Persistent</t>
  </si>
  <si>
    <t>Encounter_Museum_1</t>
  </si>
  <si>
    <t>CheckPoint08</t>
  </si>
  <si>
    <t>Encounter_Museum_2</t>
  </si>
  <si>
    <t>CheckPoint09</t>
  </si>
  <si>
    <t>Encounter_Museum_3</t>
  </si>
  <si>
    <t>CheckPoint10</t>
  </si>
  <si>
    <t>Encounter_Museum_4</t>
  </si>
  <si>
    <t>CheckPoint11</t>
  </si>
  <si>
    <t>Encounter_Museum_5</t>
  </si>
  <si>
    <t>CheckPoint12</t>
  </si>
  <si>
    <t>CheckPoint13</t>
  </si>
  <si>
    <t>CheckPoint14</t>
  </si>
  <si>
    <t>CheckPoint15</t>
  </si>
  <si>
    <t>CheckPoint16</t>
  </si>
  <si>
    <t>CheckPoint17</t>
  </si>
  <si>
    <t>CheckPoint18</t>
  </si>
  <si>
    <t>CheckPoint19</t>
  </si>
  <si>
    <t>CheckPoint20</t>
  </si>
  <si>
    <t>Name</t>
  </si>
  <si>
    <t>Default</t>
  </si>
  <si>
    <t>Reloading Speed</t>
  </si>
  <si>
    <t>Ammo Capacity</t>
  </si>
  <si>
    <t>Handling</t>
  </si>
  <si>
    <t>Shield Movement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</si>
</sst>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scheme val="minor"/>
    </font>
    <font>
      <u/>
      <sz val="11"/>
      <color theme="1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793B8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0">
    <xf numFmtId="0" fontId="0" fillId="0" borderId="0" xfId="0"/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0" fontId="0" fillId="0" borderId="7" xfId="0" applyBorder="1"/>
    <xf numFmtId="0" fontId="0" fillId="0" borderId="8" xfId="0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1" fontId="0" fillId="0" borderId="0" xfId="0" applyNumberFormat="1"/>
    <xf numFmtId="1" fontId="0" fillId="0" borderId="0" xfId="1" applyNumberFormat="1" applyFont="1"/>
    <xf numFmtId="0" fontId="0" fillId="2" borderId="6" xfId="0" applyFill="1" applyBorder="1"/>
    <xf numFmtId="0" fontId="0" fillId="2" borderId="9" xfId="0" applyFill="1" applyBorder="1"/>
    <xf numFmtId="1" fontId="0" fillId="2" borderId="6" xfId="0" applyNumberFormat="1" applyFill="1" applyBorder="1"/>
    <xf numFmtId="0" fontId="0" fillId="0" borderId="17" xfId="0" applyBorder="1"/>
    <xf numFmtId="0" fontId="2" fillId="2" borderId="5" xfId="0" applyFont="1" applyFill="1" applyBorder="1"/>
    <xf numFmtId="0" fontId="2" fillId="3" borderId="1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wrapText="1"/>
    </xf>
    <xf numFmtId="0" fontId="2" fillId="3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9" xfId="0" applyFill="1" applyBorder="1"/>
    <xf numFmtId="0" fontId="0" fillId="3" borderId="6" xfId="0" applyFill="1" applyBorder="1"/>
    <xf numFmtId="9" fontId="0" fillId="3" borderId="9" xfId="1" applyFont="1" applyFill="1" applyBorder="1"/>
    <xf numFmtId="0" fontId="0" fillId="3" borderId="9" xfId="1" applyNumberFormat="1" applyFont="1" applyFill="1" applyBorder="1"/>
    <xf numFmtId="0" fontId="2" fillId="3" borderId="5" xfId="0" applyFont="1" applyFill="1" applyBorder="1"/>
    <xf numFmtId="0" fontId="0" fillId="3" borderId="5" xfId="0" applyFill="1" applyBorder="1"/>
    <xf numFmtId="1" fontId="0" fillId="3" borderId="9" xfId="0" applyNumberFormat="1" applyFill="1" applyBorder="1"/>
    <xf numFmtId="1" fontId="0" fillId="3" borderId="6" xfId="0" applyNumberFormat="1" applyFill="1" applyBorder="1"/>
    <xf numFmtId="0" fontId="0" fillId="3" borderId="17" xfId="0" applyFill="1" applyBorder="1"/>
    <xf numFmtId="0" fontId="0" fillId="0" borderId="11" xfId="0" applyBorder="1" applyAlignment="1">
      <alignment wrapText="1"/>
    </xf>
    <xf numFmtId="0" fontId="0" fillId="0" borderId="20" xfId="0" applyBorder="1"/>
    <xf numFmtId="0" fontId="0" fillId="0" borderId="21" xfId="0" applyBorder="1"/>
    <xf numFmtId="0" fontId="0" fillId="3" borderId="1" xfId="0" applyFill="1" applyBorder="1" applyAlignment="1">
      <alignment horizontal="center"/>
    </xf>
    <xf numFmtId="0" fontId="2" fillId="3" borderId="19" xfId="0" applyFont="1" applyFill="1" applyBorder="1"/>
    <xf numFmtId="0" fontId="2" fillId="3" borderId="22" xfId="0" applyFont="1" applyFill="1" applyBorder="1"/>
    <xf numFmtId="1" fontId="0" fillId="3" borderId="23" xfId="0" applyNumberFormat="1" applyFill="1" applyBorder="1"/>
    <xf numFmtId="1" fontId="0" fillId="3" borderId="8" xfId="0" applyNumberFormat="1" applyFill="1" applyBorder="1"/>
    <xf numFmtId="0" fontId="3" fillId="0" borderId="0" xfId="0" applyFont="1"/>
    <xf numFmtId="0" fontId="2" fillId="3" borderId="18" xfId="0" applyFont="1" applyFill="1" applyBorder="1" applyAlignment="1">
      <alignment horizontal="center"/>
    </xf>
    <xf numFmtId="0" fontId="0" fillId="3" borderId="23" xfId="0" applyFill="1" applyBorder="1"/>
    <xf numFmtId="1" fontId="0" fillId="3" borderId="5" xfId="0" applyNumberFormat="1" applyFill="1" applyBorder="1"/>
    <xf numFmtId="1" fontId="0" fillId="2" borderId="9" xfId="0" applyNumberFormat="1" applyFill="1" applyBorder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0" xfId="0" applyFont="1"/>
    <xf numFmtId="0" fontId="0" fillId="6" borderId="0" xfId="0" applyFill="1"/>
    <xf numFmtId="0" fontId="0" fillId="5" borderId="6" xfId="0" applyFill="1" applyBorder="1"/>
    <xf numFmtId="1" fontId="0" fillId="5" borderId="6" xfId="0" applyNumberFormat="1" applyFill="1" applyBorder="1"/>
    <xf numFmtId="0" fontId="0" fillId="4" borderId="9" xfId="0" applyFill="1" applyBorder="1"/>
    <xf numFmtId="0" fontId="0" fillId="4" borderId="6" xfId="0" applyFill="1" applyBorder="1"/>
    <xf numFmtId="1" fontId="0" fillId="4" borderId="6" xfId="0" applyNumberFormat="1" applyFill="1" applyBorder="1"/>
    <xf numFmtId="1" fontId="0" fillId="6" borderId="0" xfId="0" applyNumberFormat="1" applyFill="1"/>
    <xf numFmtId="0" fontId="0" fillId="7" borderId="0" xfId="0" applyFill="1"/>
    <xf numFmtId="0" fontId="0" fillId="7" borderId="6" xfId="0" applyFill="1" applyBorder="1"/>
    <xf numFmtId="1" fontId="0" fillId="7" borderId="6" xfId="0" applyNumberFormat="1" applyFill="1" applyBorder="1"/>
    <xf numFmtId="0" fontId="3" fillId="8" borderId="0" xfId="0" applyFont="1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2" fillId="12" borderId="0" xfId="0" applyFont="1" applyFill="1"/>
    <xf numFmtId="0" fontId="0" fillId="3" borderId="24" xfId="0" applyFill="1" applyBorder="1"/>
    <xf numFmtId="0" fontId="2" fillId="3" borderId="33" xfId="0" applyFont="1" applyFill="1" applyBorder="1" applyAlignment="1">
      <alignment horizontal="center"/>
    </xf>
    <xf numFmtId="0" fontId="0" fillId="0" borderId="34" xfId="0" applyBorder="1"/>
    <xf numFmtId="0" fontId="2" fillId="3" borderId="5" xfId="0" applyFont="1" applyFill="1" applyBorder="1" applyAlignment="1">
      <alignment horizontal="center" wrapText="1"/>
    </xf>
    <xf numFmtId="0" fontId="2" fillId="3" borderId="14" xfId="0" applyFont="1" applyFill="1" applyBorder="1" applyAlignment="1">
      <alignment horizontal="center" wrapText="1"/>
    </xf>
    <xf numFmtId="0" fontId="0" fillId="13" borderId="0" xfId="0" applyFill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0" fillId="14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25" xfId="0" applyFont="1" applyFill="1" applyBorder="1"/>
    <xf numFmtId="0" fontId="0" fillId="0" borderId="0" xfId="0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35" xfId="0" applyNumberFormat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19" xfId="0" applyBorder="1"/>
    <xf numFmtId="0" fontId="0" fillId="0" borderId="27" xfId="0" applyBorder="1"/>
    <xf numFmtId="1" fontId="0" fillId="0" borderId="32" xfId="0" applyNumberFormat="1" applyBorder="1"/>
    <xf numFmtId="1" fontId="0" fillId="0" borderId="27" xfId="0" applyNumberFormat="1" applyBorder="1"/>
    <xf numFmtId="0" fontId="0" fillId="15" borderId="5" xfId="0" applyFill="1" applyBorder="1"/>
    <xf numFmtId="1" fontId="0" fillId="15" borderId="22" xfId="0" applyNumberFormat="1" applyFill="1" applyBorder="1"/>
    <xf numFmtId="0" fontId="0" fillId="3" borderId="25" xfId="0" applyFill="1" applyBorder="1"/>
    <xf numFmtId="0" fontId="0" fillId="15" borderId="22" xfId="0" applyFill="1" applyBorder="1"/>
    <xf numFmtId="0" fontId="0" fillId="15" borderId="15" xfId="0" applyFill="1" applyBorder="1" applyAlignment="1">
      <alignment horizontal="center" vertical="center"/>
    </xf>
    <xf numFmtId="0" fontId="0" fillId="15" borderId="27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0" fillId="15" borderId="26" xfId="0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Medium9"/>
  <colors>
    <mruColors>
      <color rgb="FF793B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Health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FrancescaData!$D$11:$D$16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xVal>
          <c:yVal>
            <c:numRef>
              <c:f>FrancescaData!$F$11:$F$16</c:f>
              <c:numCache>
                <c:formatCode>0</c:formatCode>
                <c:ptCount val="6"/>
                <c:pt idx="0" formatCode="General">
                  <c:v>0</c:v>
                </c:pt>
                <c:pt idx="1">
                  <c:v>6.3726060323019329</c:v>
                </c:pt>
                <c:pt idx="2">
                  <c:v>16.538196118453616</c:v>
                </c:pt>
                <c:pt idx="3">
                  <c:v>32.754359690444737</c:v>
                </c:pt>
                <c:pt idx="4">
                  <c:v>58.622406578524618</c:v>
                </c:pt>
                <c:pt idx="5">
                  <c:v>99.887151278046389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F3-4E02-BFD4-FBF25A70B9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3828815"/>
        <c:axId val="473827375"/>
      </c:scatterChart>
      <c:valAx>
        <c:axId val="473828815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3827375"/>
        <c:crosses val="autoZero"/>
        <c:crossBetween val="midCat"/>
      </c:valAx>
      <c:valAx>
        <c:axId val="47382737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3828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600" b="1"/>
              <a:t>Pellet</a:t>
            </a:r>
            <a:r>
              <a:rPr lang="es-ES" sz="1600" b="1" baseline="0"/>
              <a:t> Dispersion Calculation on Max Range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xVal>
            <c:numRef>
              <c:f>WeaponsSystems!$I$20:$I$25</c:f>
              <c:numCache>
                <c:formatCode>0</c:formatCode>
                <c:ptCount val="6"/>
                <c:pt idx="0">
                  <c:v>43.818082381024219</c:v>
                </c:pt>
                <c:pt idx="1">
                  <c:v>15.638440033981501</c:v>
                </c:pt>
                <c:pt idx="2">
                  <c:v>-2.639901065114346</c:v>
                </c:pt>
                <c:pt idx="3">
                  <c:v>16.145370065492028</c:v>
                </c:pt>
                <c:pt idx="4">
                  <c:v>22.424930891342484</c:v>
                </c:pt>
                <c:pt idx="5">
                  <c:v>34.6995217679166</c:v>
                </c:pt>
              </c:numCache>
            </c:numRef>
          </c:xVal>
          <c:yVal>
            <c:numRef>
              <c:f>WeaponsSystems!$J$20:$J$25</c:f>
              <c:numCache>
                <c:formatCode>0</c:formatCode>
                <c:ptCount val="6"/>
                <c:pt idx="0">
                  <c:v>-24.082683746828856</c:v>
                </c:pt>
                <c:pt idx="1">
                  <c:v>47.491464425763546</c:v>
                </c:pt>
                <c:pt idx="2">
                  <c:v>49.93026058780795</c:v>
                </c:pt>
                <c:pt idx="3">
                  <c:v>18.88417491234912</c:v>
                </c:pt>
                <c:pt idx="4">
                  <c:v>-44.689176256880302</c:v>
                </c:pt>
                <c:pt idx="5">
                  <c:v>35.999210950767832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A1-4E0F-AC8F-2EFA186C3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2125647"/>
        <c:axId val="2132127567"/>
      </c:scatterChart>
      <c:valAx>
        <c:axId val="2132125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132127567"/>
        <c:crosses val="autoZero"/>
        <c:crossBetween val="midCat"/>
      </c:valAx>
      <c:valAx>
        <c:axId val="213212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1321256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Damage Increase TommyGun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WeaponsSystems!$B$3:$B$8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</c:numCache>
            </c:numRef>
          </c:xVal>
          <c:yVal>
            <c:numRef>
              <c:f>WeaponsSystems!$H$3:$H$8</c:f>
              <c:numCache>
                <c:formatCode>General</c:formatCode>
                <c:ptCount val="6"/>
                <c:pt idx="0">
                  <c:v>4</c:v>
                </c:pt>
                <c:pt idx="1">
                  <c:v>5.28</c:v>
                </c:pt>
                <c:pt idx="2">
                  <c:v>9.120000000000001</c:v>
                </c:pt>
                <c:pt idx="3">
                  <c:v>14.879999999999999</c:v>
                </c:pt>
                <c:pt idx="4">
                  <c:v>18.72</c:v>
                </c:pt>
                <c:pt idx="5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D3-4DA0-A58F-9D559E69A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4148015"/>
        <c:axId val="464148495"/>
      </c:scatterChart>
      <c:valAx>
        <c:axId val="464148015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64148495"/>
        <c:crosses val="autoZero"/>
        <c:crossBetween val="midCat"/>
      </c:valAx>
      <c:valAx>
        <c:axId val="464148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641480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Damage</a:t>
            </a:r>
            <a:r>
              <a:rPr lang="es-ES" baseline="0"/>
              <a:t> Increase Beretta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WeaponsSystems!$B$10:$B$15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</c:numCache>
            </c:numRef>
          </c:xVal>
          <c:yVal>
            <c:numRef>
              <c:f>WeaponsSystems!$H$10:$H$15</c:f>
              <c:numCache>
                <c:formatCode>General</c:formatCode>
                <c:ptCount val="6"/>
                <c:pt idx="0">
                  <c:v>10</c:v>
                </c:pt>
                <c:pt idx="1">
                  <c:v>13.200000000000001</c:v>
                </c:pt>
                <c:pt idx="2">
                  <c:v>22.800000000000004</c:v>
                </c:pt>
                <c:pt idx="3">
                  <c:v>37.199999999999996</c:v>
                </c:pt>
                <c:pt idx="4">
                  <c:v>46.8</c:v>
                </c:pt>
                <c:pt idx="5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75-4777-B010-2828968C7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192527"/>
        <c:axId val="449193007"/>
      </c:scatterChart>
      <c:valAx>
        <c:axId val="449192527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9193007"/>
        <c:crosses val="autoZero"/>
        <c:crossBetween val="midCat"/>
      </c:valAx>
      <c:valAx>
        <c:axId val="44919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91925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 b="1"/>
              <a:t>Falloff Damage Francesca</a:t>
            </a:r>
            <a:endParaRPr lang="es-ES" sz="1800" b="1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8159667541557304E-2"/>
          <c:y val="0.18041666666666667"/>
          <c:w val="0.90339588801399828"/>
          <c:h val="0.69866542723826186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WeaponsSystems!$B$31:$B$46</c:f>
              <c:numCache>
                <c:formatCode>General</c:formatCode>
                <c:ptCount val="16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400</c:v>
                </c:pt>
                <c:pt idx="9">
                  <c:v>450</c:v>
                </c:pt>
                <c:pt idx="10">
                  <c:v>500</c:v>
                </c:pt>
                <c:pt idx="11">
                  <c:v>550</c:v>
                </c:pt>
                <c:pt idx="12">
                  <c:v>600</c:v>
                </c:pt>
                <c:pt idx="13">
                  <c:v>650</c:v>
                </c:pt>
                <c:pt idx="14">
                  <c:v>700</c:v>
                </c:pt>
                <c:pt idx="15">
                  <c:v>750</c:v>
                </c:pt>
              </c:numCache>
            </c:numRef>
          </c:xVal>
          <c:yVal>
            <c:numRef>
              <c:f>WeaponsSystems!$C$31:$C$46</c:f>
              <c:numCache>
                <c:formatCode>0</c:formatCode>
                <c:ptCount val="16"/>
                <c:pt idx="0">
                  <c:v>25</c:v>
                </c:pt>
                <c:pt idx="1">
                  <c:v>24.586881776404542</c:v>
                </c:pt>
                <c:pt idx="2">
                  <c:v>23.831525210655645</c:v>
                </c:pt>
                <c:pt idx="3">
                  <c:v>22.853374741600202</c:v>
                </c:pt>
                <c:pt idx="4">
                  <c:v>21.695054211236339</c:v>
                </c:pt>
                <c:pt idx="5">
                  <c:v>20.381197846482994</c:v>
                </c:pt>
                <c:pt idx="6">
                  <c:v>18.928426892476711</c:v>
                </c:pt>
                <c:pt idx="7">
                  <c:v>17.348943428083501</c:v>
                </c:pt>
                <c:pt idx="8">
                  <c:v>15.652201685245165</c:v>
                </c:pt>
                <c:pt idx="9">
                  <c:v>13.84580796292264</c:v>
                </c:pt>
                <c:pt idx="10">
                  <c:v>11.936054705156387</c:v>
                </c:pt>
                <c:pt idx="11">
                  <c:v>9.9282604410329185</c:v>
                </c:pt>
                <c:pt idx="12">
                  <c:v>7.8269979328016142</c:v>
                </c:pt>
                <c:pt idx="13">
                  <c:v>5.6362538059737339</c:v>
                </c:pt>
                <c:pt idx="14">
                  <c:v>3.3595440590237722</c:v>
                </c:pt>
                <c:pt idx="1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CE-47DB-A684-A7CB86D66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3690735"/>
        <c:axId val="1783691215"/>
      </c:scatterChart>
      <c:valAx>
        <c:axId val="1783690735"/>
        <c:scaling>
          <c:orientation val="minMax"/>
          <c:max val="7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83691215"/>
        <c:crosses val="autoZero"/>
        <c:crossBetween val="midCat"/>
      </c:valAx>
      <c:valAx>
        <c:axId val="1783691215"/>
        <c:scaling>
          <c:orientation val="minMax"/>
          <c:max val="2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83690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Falloff Damage Agency</a:t>
            </a:r>
            <a:endParaRPr lang="en-US" sz="1800" b="1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WeaponsSystems!$B$86:$B$116</c:f>
              <c:numCache>
                <c:formatCode>General</c:formatCode>
                <c:ptCount val="31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400</c:v>
                </c:pt>
                <c:pt idx="9">
                  <c:v>450</c:v>
                </c:pt>
                <c:pt idx="10">
                  <c:v>500</c:v>
                </c:pt>
                <c:pt idx="11">
                  <c:v>550</c:v>
                </c:pt>
                <c:pt idx="12">
                  <c:v>600</c:v>
                </c:pt>
                <c:pt idx="13">
                  <c:v>650</c:v>
                </c:pt>
                <c:pt idx="14">
                  <c:v>700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1050</c:v>
                </c:pt>
                <c:pt idx="22">
                  <c:v>1100</c:v>
                </c:pt>
                <c:pt idx="23">
                  <c:v>1150</c:v>
                </c:pt>
                <c:pt idx="24">
                  <c:v>1200</c:v>
                </c:pt>
                <c:pt idx="25">
                  <c:v>1250</c:v>
                </c:pt>
                <c:pt idx="26">
                  <c:v>1300</c:v>
                </c:pt>
                <c:pt idx="27">
                  <c:v>1350</c:v>
                </c:pt>
                <c:pt idx="28">
                  <c:v>1400</c:v>
                </c:pt>
                <c:pt idx="29">
                  <c:v>1450</c:v>
                </c:pt>
                <c:pt idx="30">
                  <c:v>1500</c:v>
                </c:pt>
              </c:numCache>
            </c:numRef>
          </c:xVal>
          <c:yVal>
            <c:numRef>
              <c:f>WeaponsSystems!$C$86:$C$116</c:f>
              <c:numCache>
                <c:formatCode>0</c:formatCode>
                <c:ptCount val="31"/>
                <c:pt idx="0">
                  <c:v>49.363744331527414</c:v>
                </c:pt>
                <c:pt idx="1">
                  <c:v>49.16654621925278</c:v>
                </c:pt>
                <c:pt idx="2">
                  <c:v>48.909921969191359</c:v>
                </c:pt>
                <c:pt idx="3">
                  <c:v>48.577152429094554</c:v>
                </c:pt>
                <c:pt idx="4">
                  <c:v>48.147634006059981</c:v>
                </c:pt>
                <c:pt idx="5">
                  <c:v>47.596533993039699</c:v>
                </c:pt>
                <c:pt idx="6">
                  <c:v>46.894821497740466</c:v>
                </c:pt>
                <c:pt idx="7">
                  <c:v>46.00998043521259</c:v>
                </c:pt>
                <c:pt idx="8">
                  <c:v>44.907798476985128</c:v>
                </c:pt>
                <c:pt idx="9">
                  <c:v>43.555642016936588</c:v>
                </c:pt>
                <c:pt idx="10">
                  <c:v>41.92747110958485</c:v>
                </c:pt>
                <c:pt idx="11">
                  <c:v>40.010404223804699</c:v>
                </c:pt>
                <c:pt idx="12">
                  <c:v>37.811866773902615</c:v>
                </c:pt>
                <c:pt idx="13">
                  <c:v>35.365423640432027</c:v>
                </c:pt>
                <c:pt idx="14">
                  <c:v>32.732799339129926</c:v>
                </c:pt>
                <c:pt idx="15">
                  <c:v>30</c:v>
                </c:pt>
                <c:pt idx="16">
                  <c:v>26.535296843306796</c:v>
                </c:pt>
                <c:pt idx="17">
                  <c:v>23.272489113273352</c:v>
                </c:pt>
                <c:pt idx="18">
                  <c:v>20.369004032713839</c:v>
                </c:pt>
                <c:pt idx="19">
                  <c:v>17.912644457656729</c:v>
                </c:pt>
                <c:pt idx="20">
                  <c:v>15.921887921267576</c:v>
                </c:pt>
                <c:pt idx="21">
                  <c:v>14.363872847824517</c:v>
                </c:pt>
                <c:pt idx="22">
                  <c:v>13.177541967359137</c:v>
                </c:pt>
                <c:pt idx="23">
                  <c:v>12.292967035954749</c:v>
                </c:pt>
                <c:pt idx="24">
                  <c:v>11.6436511280186</c:v>
                </c:pt>
                <c:pt idx="25">
                  <c:v>11.172489230054254</c:v>
                </c:pt>
                <c:pt idx="26">
                  <c:v>10.833453780747217</c:v>
                </c:pt>
                <c:pt idx="27">
                  <c:v>10.590961267730922</c:v>
                </c:pt>
                <c:pt idx="28">
                  <c:v>10.418268249276728</c:v>
                </c:pt>
                <c:pt idx="29">
                  <c:v>10.295661653771276</c:v>
                </c:pt>
                <c:pt idx="30">
                  <c:v>10.208805027742333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1A-4BFF-9813-64F6BCBCE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0086815"/>
        <c:axId val="960089695"/>
      </c:scatterChart>
      <c:valAx>
        <c:axId val="960086815"/>
        <c:scaling>
          <c:orientation val="minMax"/>
          <c:max val="15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0089695"/>
        <c:crosses val="autoZero"/>
        <c:crossBetween val="midCat"/>
      </c:valAx>
      <c:valAx>
        <c:axId val="960089695"/>
        <c:scaling>
          <c:orientation val="minMax"/>
          <c:max val="50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0086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="1"/>
              <a:t>Representation</a:t>
            </a:r>
            <a:r>
              <a:rPr lang="es-ES" b="1" baseline="0"/>
              <a:t> of missing projectiles (Mafia)</a:t>
            </a:r>
            <a:endParaRPr lang="es-E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WeaponsSystems!$C$121:$C$130</c:f>
              <c:numCache>
                <c:formatCode>General</c:formatCode>
                <c:ptCount val="10"/>
                <c:pt idx="0">
                  <c:v>-8</c:v>
                </c:pt>
                <c:pt idx="1">
                  <c:v>1</c:v>
                </c:pt>
                <c:pt idx="2">
                  <c:v>-21</c:v>
                </c:pt>
                <c:pt idx="3">
                  <c:v>6</c:v>
                </c:pt>
                <c:pt idx="4">
                  <c:v>1</c:v>
                </c:pt>
                <c:pt idx="5">
                  <c:v>15</c:v>
                </c:pt>
                <c:pt idx="6">
                  <c:v>-3</c:v>
                </c:pt>
                <c:pt idx="7">
                  <c:v>16</c:v>
                </c:pt>
                <c:pt idx="8">
                  <c:v>-5</c:v>
                </c:pt>
                <c:pt idx="9">
                  <c:v>3</c:v>
                </c:pt>
              </c:numCache>
            </c:numRef>
          </c:xVal>
          <c:yVal>
            <c:numRef>
              <c:f>WeaponsSystems!$D$121:$D$130</c:f>
              <c:numCache>
                <c:formatCode>General</c:formatCode>
                <c:ptCount val="10"/>
                <c:pt idx="0">
                  <c:v>134</c:v>
                </c:pt>
                <c:pt idx="1">
                  <c:v>123</c:v>
                </c:pt>
                <c:pt idx="2">
                  <c:v>150</c:v>
                </c:pt>
                <c:pt idx="3">
                  <c:v>122</c:v>
                </c:pt>
                <c:pt idx="4">
                  <c:v>123</c:v>
                </c:pt>
                <c:pt idx="5">
                  <c:v>127</c:v>
                </c:pt>
                <c:pt idx="6">
                  <c:v>137</c:v>
                </c:pt>
                <c:pt idx="7">
                  <c:v>144</c:v>
                </c:pt>
                <c:pt idx="8">
                  <c:v>138</c:v>
                </c:pt>
                <c:pt idx="9">
                  <c:v>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F5-41BD-AA5A-0C20C3758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6731807"/>
        <c:axId val="1526728447"/>
      </c:scatterChart>
      <c:valAx>
        <c:axId val="1526731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26728447"/>
        <c:crosses val="autoZero"/>
        <c:crossBetween val="midCat"/>
        <c:majorUnit val="50"/>
        <c:minorUnit val="10"/>
      </c:valAx>
      <c:valAx>
        <c:axId val="1526728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267318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Representation of missing projectiles (Agency)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WeaponsSystems!$C$139:$C$148</c:f>
              <c:numCache>
                <c:formatCode>General</c:formatCode>
                <c:ptCount val="10"/>
                <c:pt idx="0">
                  <c:v>-12</c:v>
                </c:pt>
                <c:pt idx="1">
                  <c:v>-18</c:v>
                </c:pt>
                <c:pt idx="2">
                  <c:v>-6</c:v>
                </c:pt>
                <c:pt idx="3">
                  <c:v>25</c:v>
                </c:pt>
                <c:pt idx="4">
                  <c:v>0</c:v>
                </c:pt>
                <c:pt idx="5">
                  <c:v>-13</c:v>
                </c:pt>
                <c:pt idx="6">
                  <c:v>-6</c:v>
                </c:pt>
                <c:pt idx="7">
                  <c:v>-15</c:v>
                </c:pt>
                <c:pt idx="8">
                  <c:v>17</c:v>
                </c:pt>
                <c:pt idx="9">
                  <c:v>24</c:v>
                </c:pt>
              </c:numCache>
            </c:numRef>
          </c:xVal>
          <c:yVal>
            <c:numRef>
              <c:f>WeaponsSystems!$D$139:$D$148</c:f>
              <c:numCache>
                <c:formatCode>General</c:formatCode>
                <c:ptCount val="10"/>
                <c:pt idx="0">
                  <c:v>141</c:v>
                </c:pt>
                <c:pt idx="1">
                  <c:v>132</c:v>
                </c:pt>
                <c:pt idx="2">
                  <c:v>137</c:v>
                </c:pt>
                <c:pt idx="3">
                  <c:v>126</c:v>
                </c:pt>
                <c:pt idx="4">
                  <c:v>122</c:v>
                </c:pt>
                <c:pt idx="5">
                  <c:v>151</c:v>
                </c:pt>
                <c:pt idx="6">
                  <c:v>157</c:v>
                </c:pt>
                <c:pt idx="7">
                  <c:v>128</c:v>
                </c:pt>
                <c:pt idx="8">
                  <c:v>141</c:v>
                </c:pt>
                <c:pt idx="9">
                  <c:v>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6A-4BA6-82A5-801B8BAD54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4703183"/>
        <c:axId val="934703663"/>
      </c:scatterChart>
      <c:valAx>
        <c:axId val="9347031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34703663"/>
        <c:crosses val="autoZero"/>
        <c:crossBetween val="midCat"/>
      </c:valAx>
      <c:valAx>
        <c:axId val="934703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34703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Falloff Damage Agency</a:t>
            </a:r>
            <a:endParaRPr lang="en-US" sz="1800" b="1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WeaponsSystems!$B$51:$B$81</c:f>
              <c:numCache>
                <c:formatCode>General</c:formatCode>
                <c:ptCount val="31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400</c:v>
                </c:pt>
                <c:pt idx="9">
                  <c:v>450</c:v>
                </c:pt>
                <c:pt idx="10">
                  <c:v>500</c:v>
                </c:pt>
                <c:pt idx="11">
                  <c:v>550</c:v>
                </c:pt>
                <c:pt idx="12">
                  <c:v>600</c:v>
                </c:pt>
                <c:pt idx="13">
                  <c:v>650</c:v>
                </c:pt>
                <c:pt idx="14">
                  <c:v>700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1050</c:v>
                </c:pt>
                <c:pt idx="22">
                  <c:v>1100</c:v>
                </c:pt>
                <c:pt idx="23">
                  <c:v>1150</c:v>
                </c:pt>
                <c:pt idx="24">
                  <c:v>1200</c:v>
                </c:pt>
                <c:pt idx="25">
                  <c:v>1250</c:v>
                </c:pt>
                <c:pt idx="26">
                  <c:v>1300</c:v>
                </c:pt>
                <c:pt idx="27">
                  <c:v>1350</c:v>
                </c:pt>
                <c:pt idx="28">
                  <c:v>1400</c:v>
                </c:pt>
                <c:pt idx="29">
                  <c:v>1450</c:v>
                </c:pt>
                <c:pt idx="30">
                  <c:v>1500</c:v>
                </c:pt>
              </c:numCache>
            </c:numRef>
          </c:xVal>
          <c:yVal>
            <c:numRef>
              <c:f>WeaponsSystems!$C$51:$C$81</c:f>
              <c:numCache>
                <c:formatCode>0</c:formatCode>
                <c:ptCount val="31"/>
                <c:pt idx="0">
                  <c:v>19.745497732610964</c:v>
                </c:pt>
                <c:pt idx="1">
                  <c:v>19.666618487701115</c:v>
                </c:pt>
                <c:pt idx="2">
                  <c:v>19.563968787676544</c:v>
                </c:pt>
                <c:pt idx="3">
                  <c:v>19.43086097163782</c:v>
                </c:pt>
                <c:pt idx="4">
                  <c:v>19.259053602423993</c:v>
                </c:pt>
                <c:pt idx="5">
                  <c:v>19.038613597215878</c:v>
                </c:pt>
                <c:pt idx="6">
                  <c:v>18.757928599096186</c:v>
                </c:pt>
                <c:pt idx="7">
                  <c:v>18.403992174085037</c:v>
                </c:pt>
                <c:pt idx="8">
                  <c:v>17.963119390794052</c:v>
                </c:pt>
                <c:pt idx="9">
                  <c:v>17.422256806774634</c:v>
                </c:pt>
                <c:pt idx="10">
                  <c:v>16.770988443833939</c:v>
                </c:pt>
                <c:pt idx="11">
                  <c:v>16.004161689521879</c:v>
                </c:pt>
                <c:pt idx="12">
                  <c:v>15.124746709561046</c:v>
                </c:pt>
                <c:pt idx="13">
                  <c:v>14.14616945617281</c:v>
                </c:pt>
                <c:pt idx="14">
                  <c:v>13.093119735651969</c:v>
                </c:pt>
                <c:pt idx="15">
                  <c:v>12</c:v>
                </c:pt>
                <c:pt idx="16">
                  <c:v>10.614118737322718</c:v>
                </c:pt>
                <c:pt idx="17">
                  <c:v>9.3089956453093414</c:v>
                </c:pt>
                <c:pt idx="18">
                  <c:v>8.147601613085536</c:v>
                </c:pt>
                <c:pt idx="19">
                  <c:v>7.1650577830626911</c:v>
                </c:pt>
                <c:pt idx="20">
                  <c:v>6.3687551685070307</c:v>
                </c:pt>
                <c:pt idx="21">
                  <c:v>5.7455491391298068</c:v>
                </c:pt>
                <c:pt idx="22">
                  <c:v>5.2710167869436546</c:v>
                </c:pt>
                <c:pt idx="23">
                  <c:v>4.9171868143818998</c:v>
                </c:pt>
                <c:pt idx="24">
                  <c:v>4.6574604512074398</c:v>
                </c:pt>
                <c:pt idx="25">
                  <c:v>4.4689956920217018</c:v>
                </c:pt>
                <c:pt idx="26">
                  <c:v>4.333381512298887</c:v>
                </c:pt>
                <c:pt idx="27">
                  <c:v>4.2363845070923691</c:v>
                </c:pt>
                <c:pt idx="28">
                  <c:v>4.167307299710691</c:v>
                </c:pt>
                <c:pt idx="29">
                  <c:v>4.1182646615085101</c:v>
                </c:pt>
                <c:pt idx="30">
                  <c:v>4.0835220110969335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5D-496E-BBB3-DF33615BC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0086815"/>
        <c:axId val="960089695"/>
      </c:scatterChart>
      <c:valAx>
        <c:axId val="960086815"/>
        <c:scaling>
          <c:orientation val="minMax"/>
          <c:max val="15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0089695"/>
        <c:crosses val="autoZero"/>
        <c:crossBetween val="midCat"/>
      </c:valAx>
      <c:valAx>
        <c:axId val="960089695"/>
        <c:scaling>
          <c:orientation val="minMax"/>
          <c:max val="20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0086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59419</xdr:colOff>
      <xdr:row>5</xdr:row>
      <xdr:rowOff>75292</xdr:rowOff>
    </xdr:from>
    <xdr:to>
      <xdr:col>10</xdr:col>
      <xdr:colOff>670380</xdr:colOff>
      <xdr:row>19</xdr:row>
      <xdr:rowOff>154667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AFB65C-941C-D133-623F-28B169CD8A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189768</xdr:colOff>
      <xdr:row>16</xdr:row>
      <xdr:rowOff>71769</xdr:rowOff>
    </xdr:from>
    <xdr:to>
      <xdr:col>17</xdr:col>
      <xdr:colOff>565547</xdr:colOff>
      <xdr:row>31</xdr:row>
      <xdr:rowOff>166355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026B905-FB4D-FD16-2D7E-D65C514113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168141</xdr:colOff>
      <xdr:row>0</xdr:row>
      <xdr:rowOff>112369</xdr:rowOff>
    </xdr:from>
    <xdr:to>
      <xdr:col>11</xdr:col>
      <xdr:colOff>693481</xdr:colOff>
      <xdr:row>14</xdr:row>
      <xdr:rowOff>126335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0142767-86AC-04C3-12EF-89701218FF5C}"/>
            </a:ext>
            <a:ext uri="{147F2762-F138-4A5C-976F-8EAC2B608ADB}">
              <a16:predDERef xmlns:a16="http://schemas.microsoft.com/office/drawing/2014/main" pred="{6026B905-FB4D-FD16-2D7E-D65C514113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20430</xdr:colOff>
      <xdr:row>0</xdr:row>
      <xdr:rowOff>95386</xdr:rowOff>
    </xdr:from>
    <xdr:to>
      <xdr:col>18</xdr:col>
      <xdr:colOff>132710</xdr:colOff>
      <xdr:row>14</xdr:row>
      <xdr:rowOff>135745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32E9B26-D0DD-E6CE-8023-6D9B6DE9BCBF}"/>
            </a:ext>
            <a:ext uri="{147F2762-F138-4A5C-976F-8EAC2B608ADB}">
              <a16:predDERef xmlns:a16="http://schemas.microsoft.com/office/drawing/2014/main" pred="{70142767-86AC-04C3-12EF-89701218FF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346822</xdr:colOff>
      <xdr:row>29</xdr:row>
      <xdr:rowOff>156882</xdr:rowOff>
    </xdr:from>
    <xdr:to>
      <xdr:col>7</xdr:col>
      <xdr:colOff>851648</xdr:colOff>
      <xdr:row>44</xdr:row>
      <xdr:rowOff>177309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C00DAA1-3313-D091-3602-DA6D06E17EE5}"/>
            </a:ext>
            <a:ext uri="{147F2762-F138-4A5C-976F-8EAC2B608ADB}">
              <a16:predDERef xmlns:a16="http://schemas.microsoft.com/office/drawing/2014/main" pred="{B32E9B26-D0DD-E6CE-8023-6D9B6DE9BC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192485</xdr:colOff>
      <xdr:row>84</xdr:row>
      <xdr:rowOff>119249</xdr:rowOff>
    </xdr:from>
    <xdr:to>
      <xdr:col>10</xdr:col>
      <xdr:colOff>1258094</xdr:colOff>
      <xdr:row>115</xdr:row>
      <xdr:rowOff>60114</xdr:rowOff>
    </xdr:to>
    <xdr:graphicFrame macro="">
      <xdr:nvGraphicFramePr>
        <xdr:cNvPr id="10" name="Gráfico 7">
          <a:extLst>
            <a:ext uri="{FF2B5EF4-FFF2-40B4-BE49-F238E27FC236}">
              <a16:creationId xmlns:a16="http://schemas.microsoft.com/office/drawing/2014/main" id="{0C4A8101-4860-99BC-3674-B948B860C96B}"/>
            </a:ext>
            <a:ext uri="{147F2762-F138-4A5C-976F-8EAC2B608ADB}">
              <a16:predDERef xmlns:a16="http://schemas.microsoft.com/office/drawing/2014/main" pred="{BC00DAA1-3313-D091-3602-DA6D06E17E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258295</xdr:colOff>
      <xdr:row>119</xdr:row>
      <xdr:rowOff>35578</xdr:rowOff>
    </xdr:from>
    <xdr:to>
      <xdr:col>9</xdr:col>
      <xdr:colOff>1086970</xdr:colOff>
      <xdr:row>133</xdr:row>
      <xdr:rowOff>113459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67B3E7F-3830-B89B-3F56-4E9A4A356DC7}"/>
            </a:ext>
            <a:ext uri="{147F2762-F138-4A5C-976F-8EAC2B608ADB}">
              <a16:predDERef xmlns:a16="http://schemas.microsoft.com/office/drawing/2014/main" pred="{0C4A8101-4860-99BC-3674-B948B860C9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227479</xdr:colOff>
      <xdr:row>137</xdr:row>
      <xdr:rowOff>59671</xdr:rowOff>
    </xdr:from>
    <xdr:to>
      <xdr:col>9</xdr:col>
      <xdr:colOff>1056154</xdr:colOff>
      <xdr:row>151</xdr:row>
      <xdr:rowOff>107296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CFE63E2-72EB-15E7-4A23-DAE3A30C679A}"/>
            </a:ext>
            <a:ext uri="{147F2762-F138-4A5C-976F-8EAC2B608ADB}">
              <a16:predDERef xmlns:a16="http://schemas.microsoft.com/office/drawing/2014/main" pred="{B67B3E7F-3830-B89B-3F56-4E9A4A356D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161925</xdr:colOff>
      <xdr:row>50</xdr:row>
      <xdr:rowOff>9525</xdr:rowOff>
    </xdr:from>
    <xdr:to>
      <xdr:col>10</xdr:col>
      <xdr:colOff>1227534</xdr:colOff>
      <xdr:row>80</xdr:row>
      <xdr:rowOff>150415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173491A-419E-4BCF-8056-5055594E6E41}"/>
            </a:ext>
            <a:ext uri="{147F2762-F138-4A5C-976F-8EAC2B608ADB}">
              <a16:predDERef xmlns:a16="http://schemas.microsoft.com/office/drawing/2014/main" pred="{ACFE63E2-72EB-15E7-4A23-DAE3A30C67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zoomScale="85" zoomScaleNormal="85" workbookViewId="0">
      <selection activeCell="G3" sqref="G3"/>
    </sheetView>
  </sheetViews>
  <sheetFormatPr defaultColWidth="9.140625" defaultRowHeight="15"/>
  <cols>
    <col min="1" max="1" width="20.5703125" customWidth="1"/>
    <col min="2" max="2" width="10.5703125" customWidth="1"/>
    <col min="3" max="3" width="20.85546875" bestFit="1" customWidth="1"/>
    <col min="4" max="4" width="19" customWidth="1"/>
    <col min="5" max="5" width="17.5703125" customWidth="1"/>
    <col min="6" max="6" width="20.85546875" customWidth="1"/>
    <col min="7" max="7" width="19.140625" customWidth="1"/>
    <col min="8" max="8" width="21.5703125" customWidth="1"/>
    <col min="9" max="9" width="23.85546875" customWidth="1"/>
    <col min="10" max="10" width="13.85546875" bestFit="1" customWidth="1"/>
    <col min="11" max="11" width="14.7109375" bestFit="1" customWidth="1"/>
    <col min="12" max="12" width="14.42578125" bestFit="1" customWidth="1"/>
    <col min="13" max="13" width="18.42578125" customWidth="1"/>
    <col min="14" max="14" width="10.28515625" customWidth="1"/>
    <col min="15" max="15" width="16.7109375" customWidth="1"/>
    <col min="16" max="16" width="13.42578125" bestFit="1" customWidth="1"/>
  </cols>
  <sheetData>
    <row r="1" spans="1:16" ht="30">
      <c r="A1" s="16"/>
      <c r="B1" s="25" t="s">
        <v>0</v>
      </c>
      <c r="C1" s="25" t="s">
        <v>1</v>
      </c>
      <c r="D1" s="25" t="s">
        <v>2</v>
      </c>
      <c r="E1" s="25" t="s">
        <v>3</v>
      </c>
      <c r="F1" s="76" t="s">
        <v>4</v>
      </c>
      <c r="G1" s="25" t="s">
        <v>5</v>
      </c>
      <c r="H1" s="25" t="s">
        <v>6</v>
      </c>
      <c r="I1" s="25" t="s">
        <v>7</v>
      </c>
      <c r="J1" s="25" t="s">
        <v>8</v>
      </c>
      <c r="K1" s="25" t="s">
        <v>9</v>
      </c>
      <c r="L1" s="25" t="s">
        <v>10</v>
      </c>
      <c r="M1" s="25" t="s">
        <v>11</v>
      </c>
      <c r="N1" s="25" t="s">
        <v>12</v>
      </c>
      <c r="O1" s="26" t="s">
        <v>13</v>
      </c>
      <c r="P1" s="26" t="s">
        <v>14</v>
      </c>
    </row>
    <row r="2" spans="1:16" ht="15.75" thickBot="1">
      <c r="A2" s="27" t="s">
        <v>15</v>
      </c>
      <c r="B2" s="14">
        <v>100</v>
      </c>
      <c r="C2" s="14">
        <v>3</v>
      </c>
      <c r="D2" s="14">
        <v>1</v>
      </c>
      <c r="E2" s="14">
        <v>0.2</v>
      </c>
      <c r="F2" s="14">
        <f>D2/E2</f>
        <v>5</v>
      </c>
      <c r="G2" s="14">
        <v>550</v>
      </c>
      <c r="H2" s="14">
        <v>300</v>
      </c>
      <c r="I2" s="14">
        <v>300</v>
      </c>
      <c r="J2" s="14">
        <v>300</v>
      </c>
      <c r="K2" s="14"/>
      <c r="L2" s="14"/>
      <c r="M2" s="14"/>
      <c r="N2" s="15">
        <v>0.6</v>
      </c>
      <c r="O2" s="11">
        <v>2</v>
      </c>
      <c r="P2" s="11">
        <v>2</v>
      </c>
    </row>
    <row r="3" spans="1:16" ht="97.5" customHeight="1">
      <c r="A3" s="7"/>
      <c r="D3" s="80" t="s">
        <v>16</v>
      </c>
      <c r="F3" s="80" t="s">
        <v>17</v>
      </c>
    </row>
    <row r="5" spans="1:16" ht="15.75" thickBot="1"/>
    <row r="6" spans="1:16" ht="15.75" thickBot="1">
      <c r="C6" s="24" t="s">
        <v>18</v>
      </c>
    </row>
    <row r="7" spans="1:16" ht="15.75" thickBot="1">
      <c r="D7" s="24" t="s">
        <v>19</v>
      </c>
      <c r="E7" s="24" t="s">
        <v>20</v>
      </c>
      <c r="F7" s="24" t="s">
        <v>21</v>
      </c>
      <c r="G7" s="24" t="s">
        <v>22</v>
      </c>
    </row>
    <row r="8" spans="1:16">
      <c r="D8" s="11">
        <v>5</v>
      </c>
      <c r="E8" s="11">
        <f>B2</f>
        <v>100</v>
      </c>
      <c r="F8" s="11">
        <f>F2</f>
        <v>5</v>
      </c>
      <c r="G8" s="11">
        <v>0.46700000000000003</v>
      </c>
    </row>
    <row r="9" spans="1:16" ht="15.75" thickBot="1"/>
    <row r="10" spans="1:16" ht="15.75" thickBot="1">
      <c r="D10" s="24" t="s">
        <v>23</v>
      </c>
      <c r="E10" s="24" t="s">
        <v>24</v>
      </c>
      <c r="F10" s="24" t="s">
        <v>25</v>
      </c>
    </row>
    <row r="11" spans="1:16">
      <c r="D11" s="21">
        <v>0</v>
      </c>
      <c r="E11" s="21">
        <f>$F$8 * EXP($G$8 *D11)</f>
        <v>5</v>
      </c>
      <c r="F11" s="21">
        <f xml:space="preserve"> $F$8 * (EXP($G$8*D11) -1) /$G$8</f>
        <v>0</v>
      </c>
    </row>
    <row r="12" spans="1:16">
      <c r="D12" s="20">
        <v>1</v>
      </c>
      <c r="E12" s="22">
        <f t="shared" ref="E12:E16" si="0">$F$8 * EXP($G$8 *D12)</f>
        <v>7.9760070170850028</v>
      </c>
      <c r="F12" s="22">
        <f t="shared" ref="F12:F16" si="1" xml:space="preserve"> $F$8 * (EXP($G$8*D12) -1) /$G$8</f>
        <v>6.3726060323019329</v>
      </c>
    </row>
    <row r="13" spans="1:16">
      <c r="D13" s="20">
        <v>2</v>
      </c>
      <c r="E13" s="22">
        <f t="shared" si="0"/>
        <v>12.72333758731784</v>
      </c>
      <c r="F13" s="22">
        <f t="shared" si="1"/>
        <v>16.538196118453616</v>
      </c>
    </row>
    <row r="14" spans="1:16">
      <c r="D14" s="20">
        <v>3</v>
      </c>
      <c r="E14" s="22">
        <f t="shared" si="0"/>
        <v>20.296285975437694</v>
      </c>
      <c r="F14" s="22">
        <f t="shared" si="1"/>
        <v>32.754359690444737</v>
      </c>
    </row>
    <row r="15" spans="1:16">
      <c r="D15" s="20">
        <v>4</v>
      </c>
      <c r="E15" s="22">
        <f t="shared" si="0"/>
        <v>32.376663872170994</v>
      </c>
      <c r="F15" s="22">
        <f t="shared" si="1"/>
        <v>58.622406578524618</v>
      </c>
    </row>
    <row r="16" spans="1:16">
      <c r="D16" s="20">
        <v>5</v>
      </c>
      <c r="E16" s="22">
        <f t="shared" si="0"/>
        <v>51.647299646847664</v>
      </c>
      <c r="F16" s="22">
        <f t="shared" si="1"/>
        <v>99.887151278046389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2A1C-FBF6-4166-BEE9-C13A711A3401}">
  <dimension ref="A1:F21"/>
  <sheetViews>
    <sheetView workbookViewId="0">
      <selection activeCell="F18" sqref="F18"/>
    </sheetView>
  </sheetViews>
  <sheetFormatPr defaultColWidth="9.140625" defaultRowHeight="15"/>
  <cols>
    <col min="1" max="1" width="21" customWidth="1"/>
    <col min="4" max="4" width="25.140625" customWidth="1"/>
    <col min="6" max="6" width="20" bestFit="1" customWidth="1"/>
    <col min="15" max="15" width="9.42578125" customWidth="1"/>
  </cols>
  <sheetData>
    <row r="1" spans="1:6" ht="15.75" thickBot="1">
      <c r="A1" s="3"/>
      <c r="B1" s="43" t="s">
        <v>213</v>
      </c>
      <c r="C1" s="30" t="s">
        <v>214</v>
      </c>
      <c r="D1" s="36" t="s">
        <v>215</v>
      </c>
      <c r="E1" s="36" t="s">
        <v>216</v>
      </c>
      <c r="F1" s="36" t="s">
        <v>217</v>
      </c>
    </row>
    <row r="2" spans="1:6" ht="15.75" thickBot="1">
      <c r="A2" s="4" t="s">
        <v>218</v>
      </c>
      <c r="B2" s="2">
        <v>1</v>
      </c>
      <c r="C2" s="1">
        <v>1</v>
      </c>
      <c r="D2" s="41" t="s">
        <v>219</v>
      </c>
      <c r="E2" s="42">
        <v>1</v>
      </c>
      <c r="F2" s="42" t="s">
        <v>220</v>
      </c>
    </row>
    <row r="3" spans="1:6" ht="15.75" thickBot="1">
      <c r="A3" s="4" t="s">
        <v>221</v>
      </c>
      <c r="B3" s="2">
        <v>2</v>
      </c>
      <c r="C3">
        <v>1</v>
      </c>
      <c r="D3" s="10" t="s">
        <v>219</v>
      </c>
      <c r="E3" s="10">
        <v>2</v>
      </c>
      <c r="F3" s="10" t="s">
        <v>222</v>
      </c>
    </row>
    <row r="4" spans="1:6">
      <c r="A4" s="4" t="s">
        <v>223</v>
      </c>
      <c r="B4" s="40">
        <v>3</v>
      </c>
      <c r="C4" s="17">
        <v>1</v>
      </c>
      <c r="D4" s="10" t="s">
        <v>219</v>
      </c>
      <c r="E4" s="10">
        <v>3</v>
      </c>
      <c r="F4" s="10" t="s">
        <v>224</v>
      </c>
    </row>
    <row r="5" spans="1:6">
      <c r="A5" s="4" t="s">
        <v>225</v>
      </c>
      <c r="B5" s="40">
        <v>4</v>
      </c>
      <c r="C5" s="17">
        <v>1</v>
      </c>
      <c r="D5" s="10" t="s">
        <v>219</v>
      </c>
      <c r="E5" s="10">
        <v>4</v>
      </c>
      <c r="F5" s="10" t="s">
        <v>226</v>
      </c>
    </row>
    <row r="6" spans="1:6">
      <c r="A6" s="4" t="s">
        <v>227</v>
      </c>
      <c r="B6" s="40">
        <v>5</v>
      </c>
      <c r="C6" s="17">
        <v>1</v>
      </c>
      <c r="D6" s="10" t="s">
        <v>219</v>
      </c>
      <c r="E6" s="10">
        <v>5</v>
      </c>
      <c r="F6" s="10" t="s">
        <v>228</v>
      </c>
    </row>
    <row r="7" spans="1:6">
      <c r="A7" s="4" t="s">
        <v>229</v>
      </c>
      <c r="B7" s="40">
        <v>6</v>
      </c>
      <c r="C7" s="17">
        <v>1</v>
      </c>
      <c r="D7" s="10" t="s">
        <v>219</v>
      </c>
      <c r="E7" s="10">
        <v>6</v>
      </c>
      <c r="F7" s="10" t="s">
        <v>230</v>
      </c>
    </row>
    <row r="8" spans="1:6">
      <c r="A8" s="4" t="s">
        <v>231</v>
      </c>
      <c r="B8" s="40">
        <v>1</v>
      </c>
      <c r="C8" s="17">
        <v>2</v>
      </c>
      <c r="D8" s="10" t="s">
        <v>232</v>
      </c>
      <c r="E8" s="10">
        <v>7</v>
      </c>
      <c r="F8" s="10" t="s">
        <v>233</v>
      </c>
    </row>
    <row r="9" spans="1:6">
      <c r="A9" s="4" t="s">
        <v>234</v>
      </c>
      <c r="B9" s="40">
        <v>2</v>
      </c>
      <c r="C9" s="17">
        <v>2</v>
      </c>
      <c r="D9" s="10" t="s">
        <v>232</v>
      </c>
      <c r="E9" s="10">
        <v>8</v>
      </c>
      <c r="F9" s="10" t="s">
        <v>235</v>
      </c>
    </row>
    <row r="10" spans="1:6">
      <c r="A10" s="4" t="s">
        <v>236</v>
      </c>
      <c r="B10" s="40">
        <v>3</v>
      </c>
      <c r="C10" s="17">
        <v>2</v>
      </c>
      <c r="D10" s="10" t="s">
        <v>232</v>
      </c>
      <c r="E10" s="10">
        <v>9</v>
      </c>
      <c r="F10" s="10" t="s">
        <v>237</v>
      </c>
    </row>
    <row r="11" spans="1:6">
      <c r="A11" s="4" t="s">
        <v>238</v>
      </c>
      <c r="B11" s="40">
        <v>4</v>
      </c>
      <c r="C11" s="17">
        <v>2</v>
      </c>
      <c r="D11" s="10" t="s">
        <v>232</v>
      </c>
      <c r="E11" s="10">
        <v>10</v>
      </c>
      <c r="F11" s="10" t="s">
        <v>239</v>
      </c>
    </row>
    <row r="12" spans="1:6">
      <c r="A12" s="4" t="s">
        <v>240</v>
      </c>
      <c r="B12" s="40">
        <v>5</v>
      </c>
      <c r="C12" s="17">
        <v>2</v>
      </c>
      <c r="D12" s="10" t="s">
        <v>232</v>
      </c>
      <c r="E12" s="10">
        <v>11</v>
      </c>
      <c r="F12" s="10" t="s">
        <v>241</v>
      </c>
    </row>
    <row r="13" spans="1:6">
      <c r="A13" s="4" t="s">
        <v>242</v>
      </c>
    </row>
    <row r="14" spans="1:6">
      <c r="A14" s="4" t="s">
        <v>243</v>
      </c>
    </row>
    <row r="15" spans="1:6">
      <c r="A15" s="4" t="s">
        <v>244</v>
      </c>
    </row>
    <row r="16" spans="1:6">
      <c r="A16" s="4" t="s">
        <v>245</v>
      </c>
    </row>
    <row r="17" spans="1:1">
      <c r="A17" s="4" t="s">
        <v>246</v>
      </c>
    </row>
    <row r="18" spans="1:1">
      <c r="A18" s="4" t="s">
        <v>247</v>
      </c>
    </row>
    <row r="19" spans="1:1">
      <c r="A19" s="4" t="s">
        <v>248</v>
      </c>
    </row>
    <row r="20" spans="1:1">
      <c r="A20" s="4" t="s">
        <v>249</v>
      </c>
    </row>
    <row r="21" spans="1:1">
      <c r="A21" s="4" t="s">
        <v>250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84C35-2673-48F7-BDA3-76CADE4ACA27}">
  <dimension ref="A1:C7"/>
  <sheetViews>
    <sheetView workbookViewId="0">
      <selection activeCell="F9" sqref="F9"/>
    </sheetView>
  </sheetViews>
  <sheetFormatPr defaultColWidth="9.140625" defaultRowHeight="15"/>
  <cols>
    <col min="1" max="1" width="18.7109375" customWidth="1"/>
    <col min="2" max="2" width="19.5703125" customWidth="1"/>
    <col min="3" max="3" width="16.7109375" customWidth="1"/>
    <col min="4" max="4" width="17.5703125" customWidth="1"/>
    <col min="5" max="5" width="17.42578125" customWidth="1"/>
  </cols>
  <sheetData>
    <row r="1" spans="1:3" ht="15.75" thickBot="1">
      <c r="A1" s="35" t="s">
        <v>251</v>
      </c>
      <c r="B1" s="35" t="s">
        <v>252</v>
      </c>
      <c r="C1" s="35" t="s">
        <v>96</v>
      </c>
    </row>
    <row r="2" spans="1:3" ht="15.75" thickBot="1">
      <c r="A2" s="35" t="s">
        <v>46</v>
      </c>
      <c r="B2" s="12">
        <f>UmbrellaData!B2</f>
        <v>1.5</v>
      </c>
      <c r="C2" s="11">
        <v>1</v>
      </c>
    </row>
    <row r="3" spans="1:3" ht="15.75" thickBot="1">
      <c r="A3" s="35" t="s">
        <v>253</v>
      </c>
      <c r="B3" s="9">
        <v>1</v>
      </c>
      <c r="C3" s="10">
        <v>0.5</v>
      </c>
    </row>
    <row r="4" spans="1:3" ht="15.75" thickBot="1">
      <c r="A4" s="35" t="s">
        <v>254</v>
      </c>
      <c r="B4" s="9">
        <v>4</v>
      </c>
      <c r="C4" s="10">
        <v>8</v>
      </c>
    </row>
    <row r="5" spans="1:3" ht="15.75" thickBot="1">
      <c r="A5" s="35" t="s">
        <v>255</v>
      </c>
      <c r="B5" s="9"/>
      <c r="C5" s="10"/>
    </row>
    <row r="6" spans="1:3" ht="15.75" thickBot="1">
      <c r="A6" s="35" t="s">
        <v>126</v>
      </c>
      <c r="B6" s="9">
        <f>UmbrellaData!O2</f>
        <v>100</v>
      </c>
      <c r="C6" s="10">
        <v>130</v>
      </c>
    </row>
    <row r="7" spans="1:3" ht="15.75" thickBot="1">
      <c r="A7" s="35" t="s">
        <v>256</v>
      </c>
      <c r="B7" s="9">
        <f>FrancescaData!I2</f>
        <v>300</v>
      </c>
      <c r="C7" s="10">
        <v>350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E573-0B94-4E66-82E9-3B9104E718CF}">
  <dimension ref="A1:N13"/>
  <sheetViews>
    <sheetView workbookViewId="0">
      <selection activeCell="D4" sqref="D4"/>
    </sheetView>
  </sheetViews>
  <sheetFormatPr defaultColWidth="9.140625" defaultRowHeight="15"/>
  <cols>
    <col min="1" max="1" width="31.42578125" customWidth="1"/>
    <col min="2" max="2" width="12.42578125" customWidth="1"/>
    <col min="3" max="3" width="23" customWidth="1"/>
    <col min="4" max="4" width="16.7109375" customWidth="1"/>
    <col min="5" max="5" width="19" customWidth="1"/>
    <col min="6" max="6" width="19.42578125" customWidth="1"/>
    <col min="7" max="7" width="26.140625" customWidth="1"/>
    <col min="8" max="8" width="36.5703125" bestFit="1" customWidth="1"/>
    <col min="9" max="9" width="25.28515625" customWidth="1"/>
    <col min="10" max="10" width="36.28515625" customWidth="1"/>
    <col min="11" max="11" width="33.42578125" customWidth="1"/>
    <col min="12" max="12" width="31.85546875" customWidth="1"/>
    <col min="13" max="13" width="32.28515625" customWidth="1"/>
    <col min="14" max="14" width="30.140625" customWidth="1"/>
  </cols>
  <sheetData>
    <row r="1" spans="1:14">
      <c r="A1" s="54"/>
      <c r="B1" s="29" t="s">
        <v>0</v>
      </c>
      <c r="C1" s="29" t="s">
        <v>26</v>
      </c>
      <c r="D1" s="29" t="s">
        <v>27</v>
      </c>
      <c r="E1" s="26" t="s">
        <v>14</v>
      </c>
      <c r="F1" s="26" t="s">
        <v>28</v>
      </c>
      <c r="G1" s="26" t="s">
        <v>29</v>
      </c>
      <c r="H1" s="26" t="s">
        <v>30</v>
      </c>
      <c r="I1" s="26" t="s">
        <v>31</v>
      </c>
      <c r="J1" s="26" t="s">
        <v>32</v>
      </c>
      <c r="K1" s="26" t="s">
        <v>33</v>
      </c>
      <c r="L1" s="26" t="s">
        <v>34</v>
      </c>
      <c r="M1" s="26" t="s">
        <v>35</v>
      </c>
      <c r="N1" s="26" t="s">
        <v>36</v>
      </c>
    </row>
    <row r="2" spans="1:14">
      <c r="A2" s="27" t="s">
        <v>37</v>
      </c>
      <c r="B2" s="1">
        <v>100</v>
      </c>
      <c r="C2" s="1">
        <v>600</v>
      </c>
      <c r="D2" s="13">
        <v>300</v>
      </c>
      <c r="E2" s="11">
        <v>2</v>
      </c>
      <c r="F2" s="11">
        <v>200</v>
      </c>
      <c r="G2" s="11">
        <v>200</v>
      </c>
      <c r="H2" s="11">
        <v>600</v>
      </c>
      <c r="I2" s="11">
        <v>300</v>
      </c>
      <c r="J2" s="11">
        <v>300</v>
      </c>
      <c r="K2" s="11">
        <v>0</v>
      </c>
      <c r="L2" s="11">
        <v>0</v>
      </c>
      <c r="M2" s="11">
        <v>0</v>
      </c>
      <c r="N2" s="11">
        <v>0</v>
      </c>
    </row>
    <row r="3" spans="1:14">
      <c r="A3" s="27" t="s">
        <v>38</v>
      </c>
      <c r="B3" s="1">
        <v>60</v>
      </c>
      <c r="C3" s="1">
        <v>230</v>
      </c>
      <c r="D3" s="13">
        <v>115</v>
      </c>
      <c r="E3" s="10">
        <v>2</v>
      </c>
      <c r="F3" s="10">
        <v>200</v>
      </c>
      <c r="G3" s="10">
        <v>200</v>
      </c>
      <c r="H3" s="10">
        <v>0</v>
      </c>
      <c r="I3" s="10">
        <v>0</v>
      </c>
      <c r="J3" s="10">
        <v>200</v>
      </c>
      <c r="K3" s="10">
        <v>450</v>
      </c>
      <c r="L3" s="10">
        <v>350</v>
      </c>
      <c r="M3" s="10">
        <v>5</v>
      </c>
      <c r="N3" s="10">
        <v>5</v>
      </c>
    </row>
    <row r="4" spans="1:14" ht="120">
      <c r="C4" s="77" t="s">
        <v>39</v>
      </c>
      <c r="D4" s="77" t="s">
        <v>40</v>
      </c>
      <c r="E4" s="7"/>
      <c r="G4" s="7" t="s">
        <v>41</v>
      </c>
      <c r="H4" s="7"/>
      <c r="K4" s="7" t="s">
        <v>42</v>
      </c>
      <c r="L4" s="7" t="s">
        <v>43</v>
      </c>
      <c r="M4" s="7" t="s">
        <v>44</v>
      </c>
      <c r="N4" s="7" t="s">
        <v>45</v>
      </c>
    </row>
    <row r="13" spans="1:14">
      <c r="F13" s="7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BDFFC-AF23-46E2-8DD0-FD64A11B8E84}">
  <dimension ref="A1:W2"/>
  <sheetViews>
    <sheetView workbookViewId="0">
      <selection activeCell="F18" sqref="F18"/>
    </sheetView>
  </sheetViews>
  <sheetFormatPr defaultColWidth="11.42578125" defaultRowHeight="15"/>
  <cols>
    <col min="1" max="1" width="13.28515625" customWidth="1"/>
    <col min="3" max="3" width="14.42578125" customWidth="1"/>
    <col min="4" max="4" width="17.85546875" customWidth="1"/>
    <col min="5" max="5" width="21.140625" customWidth="1"/>
    <col min="6" max="6" width="18.42578125" customWidth="1"/>
    <col min="7" max="7" width="24.28515625" customWidth="1"/>
    <col min="8" max="8" width="25" customWidth="1"/>
    <col min="9" max="9" width="16" customWidth="1"/>
    <col min="10" max="10" width="7.28515625" customWidth="1"/>
    <col min="11" max="11" width="14" customWidth="1"/>
    <col min="12" max="12" width="28.7109375" customWidth="1"/>
    <col min="13" max="13" width="15.42578125" customWidth="1"/>
    <col min="14" max="14" width="14.42578125" customWidth="1"/>
    <col min="15" max="15" width="16.7109375" customWidth="1"/>
    <col min="16" max="16" width="25.140625" customWidth="1"/>
    <col min="17" max="17" width="24.28515625" customWidth="1"/>
    <col min="18" max="18" width="25.42578125" customWidth="1"/>
    <col min="20" max="20" width="16.7109375" customWidth="1"/>
    <col min="21" max="21" width="20.5703125" customWidth="1"/>
    <col min="22" max="22" width="22.5703125" customWidth="1"/>
  </cols>
  <sheetData>
    <row r="1" spans="1:23" ht="15.75" thickBot="1">
      <c r="B1" s="26" t="s">
        <v>46</v>
      </c>
      <c r="C1" s="26" t="s">
        <v>47</v>
      </c>
      <c r="D1" s="26" t="s">
        <v>48</v>
      </c>
      <c r="E1" s="26" t="s">
        <v>49</v>
      </c>
      <c r="F1" s="26" t="s">
        <v>50</v>
      </c>
      <c r="G1" s="26" t="s">
        <v>51</v>
      </c>
      <c r="H1" s="26" t="s">
        <v>52</v>
      </c>
      <c r="I1" s="26" t="s">
        <v>53</v>
      </c>
      <c r="J1" s="26" t="s">
        <v>54</v>
      </c>
      <c r="K1" s="26" t="s">
        <v>55</v>
      </c>
      <c r="L1" s="26" t="s">
        <v>56</v>
      </c>
      <c r="M1" s="26" t="s">
        <v>57</v>
      </c>
      <c r="N1" s="26" t="s">
        <v>58</v>
      </c>
      <c r="O1" s="26" t="s">
        <v>59</v>
      </c>
      <c r="P1" s="26" t="s">
        <v>60</v>
      </c>
      <c r="Q1" s="26" t="s">
        <v>61</v>
      </c>
      <c r="R1" s="26" t="s">
        <v>62</v>
      </c>
      <c r="S1" s="26" t="s">
        <v>63</v>
      </c>
      <c r="T1" s="26" t="s">
        <v>64</v>
      </c>
      <c r="U1" s="26" t="s">
        <v>65</v>
      </c>
      <c r="V1" s="26" t="s">
        <v>66</v>
      </c>
      <c r="W1" s="26" t="s">
        <v>67</v>
      </c>
    </row>
    <row r="2" spans="1:23" ht="15.75" thickBot="1">
      <c r="A2" s="26" t="s">
        <v>68</v>
      </c>
      <c r="B2" s="12">
        <v>1.5</v>
      </c>
      <c r="C2" s="11">
        <v>0.5</v>
      </c>
      <c r="D2" s="11">
        <v>8</v>
      </c>
      <c r="E2" s="11">
        <v>32</v>
      </c>
      <c r="F2" s="11">
        <v>750</v>
      </c>
      <c r="G2" s="11">
        <v>1</v>
      </c>
      <c r="H2" s="11">
        <v>25</v>
      </c>
      <c r="I2" s="11">
        <v>6</v>
      </c>
      <c r="J2" s="11">
        <f>(1/B2)*(H2*I2)</f>
        <v>100</v>
      </c>
      <c r="K2" s="11">
        <f>H2*I2</f>
        <v>150</v>
      </c>
      <c r="L2" s="11">
        <v>1.5</v>
      </c>
      <c r="M2" s="11">
        <v>1000</v>
      </c>
      <c r="N2" s="11">
        <v>5</v>
      </c>
      <c r="O2" s="11">
        <v>100</v>
      </c>
      <c r="P2" s="11">
        <v>0.5</v>
      </c>
      <c r="Q2" s="11">
        <v>2</v>
      </c>
      <c r="R2" s="11">
        <v>1.5</v>
      </c>
      <c r="S2" s="11">
        <v>40</v>
      </c>
      <c r="T2" s="11">
        <v>200</v>
      </c>
      <c r="U2" s="11">
        <v>0.5</v>
      </c>
      <c r="V2" s="11">
        <v>1.5</v>
      </c>
      <c r="W2" s="11">
        <f>(1/U2)*S2</f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AFDC-2C98-4813-952A-E2B3462986B1}">
  <dimension ref="A1:S19"/>
  <sheetViews>
    <sheetView topLeftCell="H1" zoomScaleNormal="100" workbookViewId="0">
      <selection activeCell="L4" sqref="L4"/>
    </sheetView>
  </sheetViews>
  <sheetFormatPr defaultColWidth="9.140625" defaultRowHeight="15"/>
  <cols>
    <col min="1" max="1" width="24.7109375" customWidth="1"/>
    <col min="2" max="2" width="15.42578125" customWidth="1"/>
    <col min="3" max="3" width="36.5703125" bestFit="1" customWidth="1"/>
    <col min="4" max="4" width="24.140625" customWidth="1"/>
    <col min="5" max="5" width="26.140625" customWidth="1"/>
    <col min="6" max="6" width="20.42578125" customWidth="1"/>
    <col min="7" max="7" width="29.28515625" customWidth="1"/>
    <col min="8" max="8" width="32.140625" customWidth="1"/>
    <col min="9" max="9" width="21.28515625" customWidth="1"/>
    <col min="10" max="10" width="14.42578125" customWidth="1"/>
    <col min="11" max="11" width="17.7109375" customWidth="1"/>
    <col min="12" max="12" width="23.28515625" customWidth="1"/>
    <col min="13" max="13" width="16.7109375" customWidth="1"/>
    <col min="14" max="14" width="19.42578125" bestFit="1" customWidth="1"/>
    <col min="15" max="15" width="23.42578125" customWidth="1"/>
    <col min="16" max="16" width="12.5703125" bestFit="1" customWidth="1"/>
    <col min="17" max="17" width="13" bestFit="1" customWidth="1"/>
    <col min="18" max="18" width="23.140625" bestFit="1" customWidth="1"/>
    <col min="19" max="19" width="24.28515625" bestFit="1" customWidth="1"/>
  </cols>
  <sheetData>
    <row r="1" spans="1:19">
      <c r="A1" s="81"/>
      <c r="B1" s="26" t="s">
        <v>69</v>
      </c>
      <c r="C1" s="29" t="s">
        <v>70</v>
      </c>
      <c r="D1" s="29" t="s">
        <v>48</v>
      </c>
      <c r="E1" s="29" t="s">
        <v>49</v>
      </c>
      <c r="F1" s="29" t="s">
        <v>71</v>
      </c>
      <c r="G1" s="29" t="s">
        <v>51</v>
      </c>
      <c r="H1" s="29" t="s">
        <v>52</v>
      </c>
      <c r="I1" s="29" t="s">
        <v>53</v>
      </c>
      <c r="J1" s="29" t="s">
        <v>54</v>
      </c>
      <c r="K1" s="28" t="s">
        <v>72</v>
      </c>
      <c r="L1" s="29" t="s">
        <v>58</v>
      </c>
      <c r="M1" s="73" t="s">
        <v>73</v>
      </c>
      <c r="N1" s="49" t="s">
        <v>74</v>
      </c>
      <c r="O1" s="49" t="s">
        <v>75</v>
      </c>
      <c r="P1" s="49" t="s">
        <v>76</v>
      </c>
      <c r="Q1" s="49" t="s">
        <v>77</v>
      </c>
      <c r="R1" s="49" t="s">
        <v>78</v>
      </c>
      <c r="S1" s="26" t="s">
        <v>79</v>
      </c>
    </row>
    <row r="2" spans="1:19">
      <c r="A2" s="35" t="s">
        <v>80</v>
      </c>
      <c r="B2" s="8">
        <v>0.3</v>
      </c>
      <c r="C2" s="8">
        <v>2</v>
      </c>
      <c r="D2" s="8">
        <v>20</v>
      </c>
      <c r="E2" s="8">
        <v>20</v>
      </c>
      <c r="F2" s="8">
        <v>1500</v>
      </c>
      <c r="G2" s="8">
        <v>4</v>
      </c>
      <c r="H2" s="8">
        <v>20</v>
      </c>
      <c r="I2" s="8">
        <v>1</v>
      </c>
      <c r="J2" s="18">
        <f>(1/B2)*H2</f>
        <v>66.666666666666671</v>
      </c>
      <c r="K2" s="10">
        <f>H2*I2</f>
        <v>20</v>
      </c>
      <c r="L2" s="1">
        <v>0</v>
      </c>
      <c r="M2" s="17">
        <v>0</v>
      </c>
      <c r="N2" s="11">
        <v>0</v>
      </c>
      <c r="O2" s="11">
        <f>F2</f>
        <v>1500</v>
      </c>
      <c r="P2" s="11">
        <v>0</v>
      </c>
      <c r="Q2" s="74">
        <v>0</v>
      </c>
      <c r="R2" s="11">
        <v>5.4999999999999997E-3</v>
      </c>
      <c r="S2" s="11">
        <v>7.0000000000000001E-3</v>
      </c>
    </row>
    <row r="3" spans="1:19">
      <c r="A3" s="82" t="s">
        <v>81</v>
      </c>
      <c r="B3" s="9">
        <v>1</v>
      </c>
      <c r="C3" s="10">
        <v>2</v>
      </c>
      <c r="D3" s="10">
        <v>7</v>
      </c>
      <c r="E3" s="10">
        <v>20</v>
      </c>
      <c r="F3" s="10">
        <v>1500</v>
      </c>
      <c r="G3" s="10">
        <v>10</v>
      </c>
      <c r="H3" s="10">
        <v>50</v>
      </c>
      <c r="I3" s="10">
        <v>1</v>
      </c>
      <c r="J3" s="10">
        <f>(1/B3)*H3</f>
        <v>50</v>
      </c>
      <c r="K3" s="10">
        <f>H3*I3</f>
        <v>50</v>
      </c>
      <c r="L3" s="1">
        <v>5</v>
      </c>
      <c r="M3" s="17">
        <v>2</v>
      </c>
      <c r="N3" s="10">
        <v>0</v>
      </c>
      <c r="O3" s="10">
        <f>F3</f>
        <v>1500</v>
      </c>
      <c r="P3" s="10">
        <v>0</v>
      </c>
      <c r="Q3" s="17">
        <v>0</v>
      </c>
      <c r="R3" s="10">
        <v>5.4999999999999997E-3</v>
      </c>
      <c r="S3" s="10">
        <v>7.0000000000000001E-3</v>
      </c>
    </row>
    <row r="4" spans="1:19">
      <c r="C4" s="78"/>
      <c r="J4" s="7"/>
      <c r="L4" s="7"/>
    </row>
    <row r="5" spans="1:19">
      <c r="A5" s="53"/>
      <c r="B5" s="53"/>
      <c r="C5" s="53"/>
    </row>
    <row r="6" spans="1:19">
      <c r="L6" s="79"/>
      <c r="Q6" s="79"/>
    </row>
    <row r="7" spans="1:19" ht="15.75" customHeight="1"/>
    <row r="8" spans="1:19" ht="17.25" customHeight="1"/>
    <row r="10" spans="1:19">
      <c r="C10" s="6"/>
      <c r="D10" s="5"/>
      <c r="E10" s="6"/>
      <c r="F10" s="6"/>
      <c r="G10" s="6"/>
    </row>
    <row r="11" spans="1:19">
      <c r="C11" s="6"/>
      <c r="D11" s="5"/>
      <c r="E11" s="6"/>
      <c r="F11" s="6"/>
      <c r="G11" s="6"/>
    </row>
    <row r="12" spans="1:19">
      <c r="C12" s="19"/>
      <c r="D12" s="18"/>
      <c r="E12" s="6"/>
      <c r="F12" s="6"/>
      <c r="G12" s="6"/>
    </row>
    <row r="13" spans="1:19">
      <c r="C13" s="6"/>
      <c r="D13" s="5"/>
      <c r="E13" s="6"/>
      <c r="F13" s="6"/>
      <c r="G13" s="6"/>
    </row>
    <row r="14" spans="1:19">
      <c r="C14" s="6"/>
      <c r="D14" s="5"/>
      <c r="E14" s="6"/>
      <c r="F14" s="6"/>
      <c r="G14" s="6"/>
    </row>
    <row r="15" spans="1:19">
      <c r="C15" s="6"/>
      <c r="D15" s="5"/>
      <c r="E15" s="6"/>
      <c r="F15" s="6"/>
      <c r="G15" s="6"/>
    </row>
    <row r="16" spans="1:19">
      <c r="C16" s="6"/>
      <c r="D16" s="5"/>
      <c r="E16" s="6"/>
      <c r="F16" s="6"/>
      <c r="G16" s="6"/>
    </row>
    <row r="17" spans="3:7">
      <c r="C17" s="6"/>
      <c r="D17" s="5"/>
      <c r="E17" s="6"/>
      <c r="F17" s="6"/>
      <c r="G17" s="6"/>
    </row>
    <row r="18" spans="3:7">
      <c r="C18" s="6"/>
      <c r="D18" s="5"/>
      <c r="E18" s="6"/>
      <c r="F18" s="6"/>
      <c r="G18" s="6"/>
    </row>
    <row r="19" spans="3:7">
      <c r="C19" s="6"/>
      <c r="D19" s="5"/>
      <c r="E19" s="6"/>
      <c r="F19" s="6"/>
      <c r="G19" s="6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E2B8F-98E2-4FA8-A575-05490826A0ED}">
  <dimension ref="A1:D2"/>
  <sheetViews>
    <sheetView workbookViewId="0">
      <selection activeCell="G29" sqref="G29"/>
    </sheetView>
  </sheetViews>
  <sheetFormatPr defaultColWidth="11.42578125" defaultRowHeight="15"/>
  <cols>
    <col min="1" max="1" width="13.140625" customWidth="1"/>
    <col min="4" max="4" width="17.42578125" customWidth="1"/>
  </cols>
  <sheetData>
    <row r="1" spans="1:4" ht="30">
      <c r="B1" s="26" t="s">
        <v>82</v>
      </c>
      <c r="C1" s="26" t="s">
        <v>83</v>
      </c>
      <c r="D1" s="75" t="s">
        <v>84</v>
      </c>
    </row>
    <row r="2" spans="1:4" ht="15.75" thickBot="1">
      <c r="A2" s="26" t="s">
        <v>85</v>
      </c>
      <c r="B2" s="12">
        <v>80</v>
      </c>
      <c r="C2" s="11">
        <v>30</v>
      </c>
      <c r="D2" s="11">
        <v>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0C2D2-5631-48B0-BD49-91FA973A9CFB}">
  <dimension ref="A1:AA19"/>
  <sheetViews>
    <sheetView zoomScale="85" zoomScaleNormal="85" workbookViewId="0">
      <selection activeCell="F14" sqref="F14"/>
    </sheetView>
  </sheetViews>
  <sheetFormatPr defaultColWidth="9.140625" defaultRowHeight="15"/>
  <cols>
    <col min="1" max="1" width="18.7109375" bestFit="1" customWidth="1"/>
    <col min="2" max="2" width="22" customWidth="1"/>
    <col min="3" max="3" width="16.5703125" customWidth="1"/>
    <col min="4" max="4" width="22.85546875" customWidth="1"/>
    <col min="5" max="5" width="13.42578125" customWidth="1"/>
    <col min="6" max="6" width="21.42578125" customWidth="1"/>
    <col min="7" max="7" width="11.28515625" customWidth="1"/>
    <col min="8" max="8" width="11.42578125" customWidth="1"/>
    <col min="9" max="9" width="10.85546875" customWidth="1"/>
    <col min="10" max="11" width="9.140625" customWidth="1"/>
    <col min="16" max="16" width="20.42578125" customWidth="1"/>
    <col min="18" max="18" width="10.5703125" customWidth="1"/>
    <col min="20" max="20" width="10.5703125" customWidth="1"/>
    <col min="22" max="22" width="10.5703125" customWidth="1"/>
    <col min="24" max="24" width="10.5703125" customWidth="1"/>
    <col min="26" max="26" width="10.5703125" customWidth="1"/>
  </cols>
  <sheetData>
    <row r="1" spans="1:27" ht="15.75" thickBot="1">
      <c r="A1" s="35" t="s">
        <v>86</v>
      </c>
      <c r="B1" s="35" t="s">
        <v>87</v>
      </c>
      <c r="C1" s="35" t="s">
        <v>88</v>
      </c>
      <c r="F1" s="35" t="s">
        <v>89</v>
      </c>
      <c r="G1" s="27" t="s">
        <v>90</v>
      </c>
      <c r="H1" s="35" t="s">
        <v>91</v>
      </c>
      <c r="I1" s="35" t="s">
        <v>92</v>
      </c>
      <c r="K1" s="110" t="s">
        <v>93</v>
      </c>
      <c r="L1" s="111"/>
      <c r="M1" s="111"/>
      <c r="N1" s="112"/>
      <c r="R1" s="107" t="s">
        <v>94</v>
      </c>
      <c r="S1" s="108"/>
      <c r="T1" s="108"/>
      <c r="U1" s="108"/>
      <c r="V1" s="108"/>
      <c r="W1" s="108"/>
      <c r="X1" s="108"/>
      <c r="Y1" s="108"/>
      <c r="Z1" s="108"/>
      <c r="AA1" s="109"/>
    </row>
    <row r="2" spans="1:27" ht="15.75" thickBot="1">
      <c r="A2" s="52">
        <f>UmbrellaData!D2</f>
        <v>8</v>
      </c>
      <c r="B2" s="21">
        <f>UmbrellaData!E2</f>
        <v>32</v>
      </c>
      <c r="C2" s="34">
        <f>A2+B2</f>
        <v>40</v>
      </c>
      <c r="F2" s="31" t="s">
        <v>95</v>
      </c>
      <c r="G2" s="11">
        <v>0.8</v>
      </c>
      <c r="H2" s="11">
        <v>3</v>
      </c>
      <c r="I2" s="11">
        <v>4</v>
      </c>
      <c r="K2" s="113"/>
      <c r="L2" s="114"/>
      <c r="M2" s="114"/>
      <c r="N2" s="115"/>
      <c r="R2" s="105" t="s">
        <v>96</v>
      </c>
      <c r="S2" s="119"/>
      <c r="T2" s="105" t="s">
        <v>97</v>
      </c>
      <c r="U2" s="119"/>
      <c r="V2" s="105" t="s">
        <v>98</v>
      </c>
      <c r="W2" s="119"/>
      <c r="X2" s="105" t="s">
        <v>99</v>
      </c>
      <c r="Y2" s="119"/>
      <c r="Z2" s="105" t="s">
        <v>100</v>
      </c>
      <c r="AA2" s="106"/>
    </row>
    <row r="3" spans="1:27" ht="15.75" thickBot="1">
      <c r="F3" s="32" t="s">
        <v>101</v>
      </c>
      <c r="G3" s="10">
        <v>0.4</v>
      </c>
      <c r="H3" s="10">
        <v>1</v>
      </c>
      <c r="I3" s="10">
        <v>3</v>
      </c>
      <c r="K3" s="113"/>
      <c r="L3" s="114"/>
      <c r="M3" s="114"/>
      <c r="N3" s="115"/>
      <c r="R3" s="87" t="s">
        <v>102</v>
      </c>
      <c r="S3" s="93" t="s">
        <v>103</v>
      </c>
      <c r="T3" s="87" t="s">
        <v>102</v>
      </c>
      <c r="U3" s="93" t="s">
        <v>103</v>
      </c>
      <c r="V3" s="87" t="s">
        <v>102</v>
      </c>
      <c r="W3" s="93" t="s">
        <v>103</v>
      </c>
      <c r="X3" s="87" t="s">
        <v>102</v>
      </c>
      <c r="Y3" s="93" t="s">
        <v>103</v>
      </c>
      <c r="Z3" s="87" t="s">
        <v>102</v>
      </c>
      <c r="AA3" s="88" t="s">
        <v>103</v>
      </c>
    </row>
    <row r="4" spans="1:27" ht="15.75" thickBot="1">
      <c r="A4" s="35" t="s">
        <v>104</v>
      </c>
      <c r="B4" s="35" t="s">
        <v>105</v>
      </c>
      <c r="C4" s="35" t="s">
        <v>106</v>
      </c>
      <c r="D4" s="35" t="s">
        <v>107</v>
      </c>
      <c r="F4" s="32" t="s">
        <v>108</v>
      </c>
      <c r="G4" s="10">
        <v>0.2</v>
      </c>
      <c r="H4" s="10">
        <v>1</v>
      </c>
      <c r="I4" s="10">
        <v>1</v>
      </c>
      <c r="K4" s="113"/>
      <c r="L4" s="114"/>
      <c r="M4" s="114"/>
      <c r="N4" s="115"/>
      <c r="R4" s="89">
        <v>5</v>
      </c>
      <c r="S4" s="83">
        <v>18</v>
      </c>
      <c r="T4" s="89">
        <v>2</v>
      </c>
      <c r="U4" s="83">
        <v>12</v>
      </c>
      <c r="V4" s="89">
        <v>1</v>
      </c>
      <c r="W4" s="83">
        <v>10</v>
      </c>
      <c r="X4" s="89">
        <v>3</v>
      </c>
      <c r="Y4" s="83">
        <v>13</v>
      </c>
      <c r="Z4" s="89">
        <v>4</v>
      </c>
      <c r="AA4" s="90">
        <v>20</v>
      </c>
    </row>
    <row r="5" spans="1:27" ht="15.75" thickBot="1">
      <c r="A5" s="11">
        <v>2</v>
      </c>
      <c r="B5" s="11">
        <v>16</v>
      </c>
      <c r="C5" s="31">
        <f>A5+B5</f>
        <v>18</v>
      </c>
      <c r="D5" s="33">
        <f>C5/C2</f>
        <v>0.45</v>
      </c>
      <c r="K5" s="116"/>
      <c r="L5" s="117"/>
      <c r="M5" s="117"/>
      <c r="N5" s="118"/>
      <c r="R5" s="91"/>
      <c r="S5" s="86"/>
      <c r="T5" s="91"/>
      <c r="U5" s="86"/>
      <c r="V5" s="91"/>
      <c r="W5" s="86"/>
      <c r="X5" s="91"/>
      <c r="Y5" s="86"/>
      <c r="Z5" s="91"/>
      <c r="AA5" s="92"/>
    </row>
    <row r="6" spans="1:27" ht="15.75" thickBot="1">
      <c r="R6" s="85" t="s">
        <v>109</v>
      </c>
      <c r="S6" s="86">
        <f>R4+S4</f>
        <v>23</v>
      </c>
      <c r="T6" s="96" t="s">
        <v>110</v>
      </c>
      <c r="U6" s="83">
        <f>T4+U4</f>
        <v>14</v>
      </c>
      <c r="V6" s="96" t="s">
        <v>111</v>
      </c>
      <c r="W6" s="83">
        <f>V4+W4</f>
        <v>11</v>
      </c>
      <c r="X6" s="96" t="s">
        <v>112</v>
      </c>
      <c r="Y6" s="83">
        <f>X4+Y4</f>
        <v>16</v>
      </c>
      <c r="Z6" s="96" t="s">
        <v>113</v>
      </c>
      <c r="AA6" s="90">
        <f>Z4+AA4</f>
        <v>24</v>
      </c>
    </row>
    <row r="7" spans="1:27" ht="15.75" thickBot="1">
      <c r="A7" s="35" t="s">
        <v>114</v>
      </c>
      <c r="B7" s="35" t="s">
        <v>115</v>
      </c>
      <c r="C7" s="35" t="s">
        <v>116</v>
      </c>
      <c r="D7" s="35" t="s">
        <v>117</v>
      </c>
      <c r="E7" s="35" t="s">
        <v>118</v>
      </c>
      <c r="F7" s="35" t="s">
        <v>119</v>
      </c>
      <c r="R7" s="84" t="s">
        <v>120</v>
      </c>
      <c r="S7" s="95">
        <f>S6*Q12</f>
        <v>34.5</v>
      </c>
      <c r="T7" s="84" t="s">
        <v>120</v>
      </c>
      <c r="U7" s="95">
        <f>U6*Q12</f>
        <v>21</v>
      </c>
      <c r="V7" s="84" t="s">
        <v>120</v>
      </c>
      <c r="W7" s="95">
        <f>W6*Q12</f>
        <v>16.5</v>
      </c>
      <c r="X7" s="84" t="s">
        <v>120</v>
      </c>
      <c r="Y7" s="95">
        <f>Y6*Q12</f>
        <v>24</v>
      </c>
      <c r="Z7" s="84" t="s">
        <v>120</v>
      </c>
      <c r="AA7" s="94">
        <f>AA6*Q12</f>
        <v>36</v>
      </c>
    </row>
    <row r="8" spans="1:27">
      <c r="A8" s="31" t="str">
        <f>IF($D$5&lt;0.3,"Baja",IF($D$5&lt;=0.7,"Media","Alta"))</f>
        <v>Media</v>
      </c>
      <c r="B8" s="31">
        <f>VLOOKUP(A8,$F$2:$I$4,2,FALSE)</f>
        <v>0.4</v>
      </c>
      <c r="C8" s="31">
        <f>VLOOKUP(A8,$F$2:$I$4,3,FALSE)</f>
        <v>1</v>
      </c>
      <c r="D8" s="31">
        <f>VLOOKUP(A8,$F$2:$I$4,4,FALSE)</f>
        <v>3</v>
      </c>
      <c r="E8" s="31" t="str">
        <f ca="1">IF(RAND() &lt;=B8, "SI", "NO")</f>
        <v>SI</v>
      </c>
      <c r="F8" s="31">
        <f ca="1">IF(E8="SI", RANDBETWEEN(C8,D8), 0)</f>
        <v>1</v>
      </c>
      <c r="R8" s="83"/>
      <c r="S8" s="83"/>
      <c r="T8" s="83"/>
      <c r="U8" s="83"/>
      <c r="V8" s="83"/>
      <c r="W8" s="83"/>
      <c r="X8" s="83"/>
      <c r="Y8" s="83"/>
      <c r="Z8" s="83"/>
      <c r="AA8" s="83"/>
    </row>
    <row r="9" spans="1:27">
      <c r="A9" s="32" t="str">
        <f t="shared" ref="A9:A16" si="0">IF($D$5&lt;0.3,"Baja",IF($D$5&lt;=0.7,"Media","Alta"))</f>
        <v>Media</v>
      </c>
      <c r="B9" s="32">
        <f t="shared" ref="B9:B16" si="1">VLOOKUP(A9,$F$2:$I$4,2,FALSE)</f>
        <v>0.4</v>
      </c>
      <c r="C9" s="32">
        <f t="shared" ref="C9:C16" si="2">VLOOKUP(A9,$F$2:$I$4,3,FALSE)</f>
        <v>1</v>
      </c>
      <c r="D9" s="32">
        <f t="shared" ref="D9:D16" si="3">VLOOKUP(A9,$F$2:$I$4,4,FALSE)</f>
        <v>3</v>
      </c>
      <c r="E9" s="32" t="str">
        <f t="shared" ref="E9:E16" ca="1" si="4">IF(RAND() &lt;=B9, "SI", "NO")</f>
        <v>NO</v>
      </c>
      <c r="F9" s="32">
        <f t="shared" ref="F9:F16" ca="1" si="5">IF(E9="SI", RANDBETWEEN(C9,D9), 0)</f>
        <v>0</v>
      </c>
      <c r="R9" s="83"/>
      <c r="S9" s="83"/>
      <c r="T9" s="83"/>
      <c r="U9" s="83"/>
      <c r="V9" s="83"/>
      <c r="W9" s="83"/>
      <c r="X9" s="83"/>
      <c r="Y9" s="83"/>
      <c r="Z9" s="83"/>
      <c r="AA9" s="83"/>
    </row>
    <row r="10" spans="1:27">
      <c r="A10" s="32" t="str">
        <f t="shared" si="0"/>
        <v>Media</v>
      </c>
      <c r="B10" s="32">
        <f t="shared" si="1"/>
        <v>0.4</v>
      </c>
      <c r="C10" s="32">
        <f t="shared" si="2"/>
        <v>1</v>
      </c>
      <c r="D10" s="32">
        <f t="shared" si="3"/>
        <v>3</v>
      </c>
      <c r="E10" s="32" t="str">
        <f t="shared" ca="1" si="4"/>
        <v>SI</v>
      </c>
      <c r="F10" s="32">
        <f t="shared" ca="1" si="5"/>
        <v>3</v>
      </c>
      <c r="Q10" s="83"/>
      <c r="T10" s="83"/>
      <c r="U10" s="83"/>
      <c r="V10" s="83"/>
      <c r="W10" s="83"/>
      <c r="X10" s="83"/>
      <c r="Y10" s="83"/>
      <c r="Z10" s="83"/>
      <c r="AA10" s="83"/>
    </row>
    <row r="11" spans="1:27" ht="15.75" thickBot="1">
      <c r="A11" s="32" t="str">
        <f t="shared" si="0"/>
        <v>Media</v>
      </c>
      <c r="B11" s="32">
        <f t="shared" si="1"/>
        <v>0.4</v>
      </c>
      <c r="C11" s="32">
        <f t="shared" si="2"/>
        <v>1</v>
      </c>
      <c r="D11" s="32">
        <f t="shared" si="3"/>
        <v>3</v>
      </c>
      <c r="E11" s="32" t="str">
        <f t="shared" ca="1" si="4"/>
        <v>NO</v>
      </c>
      <c r="F11" s="32">
        <f t="shared" ca="1" si="5"/>
        <v>0</v>
      </c>
    </row>
    <row r="12" spans="1:27" ht="15.75" thickBot="1">
      <c r="A12" s="32" t="str">
        <f t="shared" si="0"/>
        <v>Media</v>
      </c>
      <c r="B12" s="32">
        <f t="shared" si="1"/>
        <v>0.4</v>
      </c>
      <c r="C12" s="32">
        <f t="shared" si="2"/>
        <v>1</v>
      </c>
      <c r="D12" s="32">
        <f t="shared" si="3"/>
        <v>3</v>
      </c>
      <c r="E12" s="32" t="str">
        <f t="shared" ca="1" si="4"/>
        <v>SI</v>
      </c>
      <c r="F12" s="32">
        <f t="shared" ca="1" si="5"/>
        <v>3</v>
      </c>
      <c r="P12" s="101" t="s">
        <v>121</v>
      </c>
      <c r="Q12" s="97">
        <v>1.5</v>
      </c>
    </row>
    <row r="13" spans="1:27" ht="15.75" thickBot="1">
      <c r="A13" s="32" t="str">
        <f t="shared" si="0"/>
        <v>Media</v>
      </c>
      <c r="B13" s="32">
        <f t="shared" si="1"/>
        <v>0.4</v>
      </c>
      <c r="C13" s="32">
        <f t="shared" si="2"/>
        <v>1</v>
      </c>
      <c r="D13" s="32">
        <f t="shared" si="3"/>
        <v>3</v>
      </c>
      <c r="E13" s="32" t="str">
        <f t="shared" ca="1" si="4"/>
        <v>NO</v>
      </c>
      <c r="F13" s="32">
        <f t="shared" ca="1" si="5"/>
        <v>0</v>
      </c>
    </row>
    <row r="14" spans="1:27">
      <c r="A14" s="32" t="str">
        <f t="shared" si="0"/>
        <v>Media</v>
      </c>
      <c r="B14" s="32">
        <f t="shared" si="1"/>
        <v>0.4</v>
      </c>
      <c r="C14" s="32">
        <f t="shared" si="2"/>
        <v>1</v>
      </c>
      <c r="D14" s="32">
        <f t="shared" si="3"/>
        <v>3</v>
      </c>
      <c r="E14" s="32" t="str">
        <f t="shared" ca="1" si="4"/>
        <v>NO</v>
      </c>
      <c r="F14" s="32">
        <f t="shared" ca="1" si="5"/>
        <v>0</v>
      </c>
      <c r="P14" s="102" t="s">
        <v>122</v>
      </c>
      <c r="Q14" s="98">
        <f>S6+U6+W6+Y6+AA6</f>
        <v>88</v>
      </c>
    </row>
    <row r="15" spans="1:27" ht="15.75" thickBot="1">
      <c r="A15" s="32" t="str">
        <f t="shared" si="0"/>
        <v>Media</v>
      </c>
      <c r="B15" s="32">
        <f t="shared" si="1"/>
        <v>0.4</v>
      </c>
      <c r="C15" s="32">
        <f t="shared" si="2"/>
        <v>1</v>
      </c>
      <c r="D15" s="32">
        <f t="shared" si="3"/>
        <v>3</v>
      </c>
      <c r="E15" s="32" t="str">
        <f t="shared" ca="1" si="4"/>
        <v>NO</v>
      </c>
      <c r="F15" s="32">
        <f t="shared" ca="1" si="5"/>
        <v>0</v>
      </c>
      <c r="P15" s="103" t="s">
        <v>123</v>
      </c>
      <c r="Q15" s="99">
        <f>S7+U7+W7+Y7+AA7</f>
        <v>132</v>
      </c>
    </row>
    <row r="16" spans="1:27" ht="15.75" thickBot="1">
      <c r="A16" s="32" t="str">
        <f t="shared" si="0"/>
        <v>Media</v>
      </c>
      <c r="B16" s="32">
        <f t="shared" si="1"/>
        <v>0.4</v>
      </c>
      <c r="C16" s="32">
        <f t="shared" si="2"/>
        <v>1</v>
      </c>
      <c r="D16" s="32">
        <f t="shared" si="3"/>
        <v>3</v>
      </c>
      <c r="E16" s="32" t="str">
        <f t="shared" ca="1" si="4"/>
        <v>NO</v>
      </c>
      <c r="F16" s="32">
        <f t="shared" ca="1" si="5"/>
        <v>0</v>
      </c>
    </row>
    <row r="17" spans="3:17">
      <c r="C17" s="6"/>
      <c r="D17" s="6"/>
      <c r="P17" s="104" t="s">
        <v>124</v>
      </c>
      <c r="Q17" s="100">
        <f>AVERAGE(S6,U6,W6,Y6,AA6)</f>
        <v>17.600000000000001</v>
      </c>
    </row>
    <row r="18" spans="3:17" ht="15.75" thickBot="1">
      <c r="C18" s="6"/>
      <c r="D18" s="6"/>
      <c r="P18" s="103" t="s">
        <v>125</v>
      </c>
      <c r="Q18" s="99">
        <f>AVERAGE(S7,U7,W7,Y7,AA7)</f>
        <v>26.4</v>
      </c>
    </row>
    <row r="19" spans="3:17">
      <c r="C19" s="6"/>
      <c r="D19" s="6"/>
    </row>
  </sheetData>
  <mergeCells count="7">
    <mergeCell ref="Z2:AA2"/>
    <mergeCell ref="R1:AA1"/>
    <mergeCell ref="K1:N5"/>
    <mergeCell ref="R2:S2"/>
    <mergeCell ref="T2:U2"/>
    <mergeCell ref="V2:W2"/>
    <mergeCell ref="X2:Y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C6102-B3DB-458F-8DCF-E462F6C9F85C}">
  <dimension ref="A1:B2"/>
  <sheetViews>
    <sheetView workbookViewId="0">
      <selection activeCell="A2" sqref="A2"/>
    </sheetView>
  </sheetViews>
  <sheetFormatPr defaultColWidth="11.42578125" defaultRowHeight="15"/>
  <cols>
    <col min="1" max="1" width="16.7109375" customWidth="1"/>
  </cols>
  <sheetData>
    <row r="1" spans="1:2" ht="15.75" thickBot="1">
      <c r="B1" s="26" t="s">
        <v>126</v>
      </c>
    </row>
    <row r="2" spans="1:2" ht="15.75" thickBot="1">
      <c r="A2" s="26" t="s">
        <v>127</v>
      </c>
      <c r="B2" s="12">
        <v>2000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1853E-C4E3-4F61-A769-94FA130F89A3}">
  <dimension ref="A1:X152"/>
  <sheetViews>
    <sheetView tabSelected="1" zoomScale="55" zoomScaleNormal="55" workbookViewId="0">
      <selection activeCell="F149" sqref="F149"/>
    </sheetView>
  </sheetViews>
  <sheetFormatPr defaultColWidth="11.42578125" defaultRowHeight="15"/>
  <cols>
    <col min="1" max="1" width="43.85546875" customWidth="1"/>
    <col min="2" max="2" width="17.85546875" customWidth="1"/>
    <col min="3" max="3" width="14.42578125" customWidth="1"/>
    <col min="4" max="4" width="16.85546875" customWidth="1"/>
    <col min="5" max="6" width="23.28515625" customWidth="1"/>
    <col min="7" max="7" width="21.140625" customWidth="1"/>
    <col min="8" max="8" width="22.140625" customWidth="1"/>
    <col min="9" max="9" width="21.5703125" customWidth="1"/>
    <col min="10" max="10" width="22.5703125" customWidth="1"/>
    <col min="11" max="11" width="23" customWidth="1"/>
  </cols>
  <sheetData>
    <row r="1" spans="1:21" ht="15.75" thickBot="1">
      <c r="A1" s="35" t="s">
        <v>128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48"/>
      <c r="U1" s="48"/>
    </row>
    <row r="2" spans="1:21" ht="15.75" thickBot="1">
      <c r="A2" s="66"/>
      <c r="B2" s="35" t="s">
        <v>129</v>
      </c>
      <c r="C2" s="35" t="s">
        <v>130</v>
      </c>
      <c r="D2" s="35" t="s">
        <v>131</v>
      </c>
      <c r="E2" s="35" t="s">
        <v>132</v>
      </c>
      <c r="F2" s="35" t="s">
        <v>133</v>
      </c>
      <c r="G2" s="35" t="s">
        <v>134</v>
      </c>
      <c r="H2" s="35" t="s">
        <v>135</v>
      </c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48"/>
      <c r="U2" s="48"/>
    </row>
    <row r="3" spans="1:21">
      <c r="A3" s="66"/>
      <c r="B3" s="31">
        <v>0</v>
      </c>
      <c r="C3" s="31">
        <v>10</v>
      </c>
      <c r="D3" s="31">
        <f>WeaponData!$G$2</f>
        <v>4</v>
      </c>
      <c r="E3" s="31">
        <f>WeaponData!$H$2</f>
        <v>20</v>
      </c>
      <c r="F3" s="31">
        <f>MIN(B3/C3, 1)</f>
        <v>0</v>
      </c>
      <c r="G3" s="31">
        <f>IF(F3&lt;0.5, 2*F3^2, -1 + (4-2*F3)*F3)</f>
        <v>0</v>
      </c>
      <c r="H3" s="31">
        <f>D3+(E3-D3)*G3</f>
        <v>4</v>
      </c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48"/>
      <c r="U3" s="48"/>
    </row>
    <row r="4" spans="1:21">
      <c r="A4" s="66"/>
      <c r="B4" s="32">
        <v>2</v>
      </c>
      <c r="C4" s="32">
        <v>10</v>
      </c>
      <c r="D4" s="32">
        <f>WeaponData!$G$2</f>
        <v>4</v>
      </c>
      <c r="E4" s="32">
        <f>WeaponData!$H$2</f>
        <v>20</v>
      </c>
      <c r="F4" s="32">
        <f t="shared" ref="F4:F8" si="0">MIN(B4/C4, 1)</f>
        <v>0.2</v>
      </c>
      <c r="G4" s="32">
        <f t="shared" ref="G4:G8" si="1">IF(F4&lt;0.5, 2*F4^2, -1 + (4-2*F4)*F4)</f>
        <v>8.0000000000000016E-2</v>
      </c>
      <c r="H4" s="32">
        <f t="shared" ref="H4:H8" si="2">D4+(E4-D4)*G4</f>
        <v>5.28</v>
      </c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48"/>
      <c r="U4" s="48"/>
    </row>
    <row r="5" spans="1:21">
      <c r="A5" s="66"/>
      <c r="B5" s="32">
        <v>4</v>
      </c>
      <c r="C5" s="32">
        <v>10</v>
      </c>
      <c r="D5" s="32">
        <f>WeaponData!$G$2</f>
        <v>4</v>
      </c>
      <c r="E5" s="32">
        <f>WeaponData!$H$2</f>
        <v>20</v>
      </c>
      <c r="F5" s="32">
        <f t="shared" si="0"/>
        <v>0.4</v>
      </c>
      <c r="G5" s="32">
        <f t="shared" si="1"/>
        <v>0.32000000000000006</v>
      </c>
      <c r="H5" s="32">
        <f t="shared" si="2"/>
        <v>9.120000000000001</v>
      </c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48"/>
      <c r="U5" s="48"/>
    </row>
    <row r="6" spans="1:21">
      <c r="A6" s="66"/>
      <c r="B6" s="32">
        <v>6</v>
      </c>
      <c r="C6" s="32">
        <v>10</v>
      </c>
      <c r="D6" s="32">
        <f>WeaponData!$G$2</f>
        <v>4</v>
      </c>
      <c r="E6" s="32">
        <f>WeaponData!$H$2</f>
        <v>20</v>
      </c>
      <c r="F6" s="32">
        <f t="shared" si="0"/>
        <v>0.6</v>
      </c>
      <c r="G6" s="32">
        <f t="shared" si="1"/>
        <v>0.67999999999999994</v>
      </c>
      <c r="H6" s="32">
        <f t="shared" si="2"/>
        <v>14.879999999999999</v>
      </c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48"/>
      <c r="U6" s="48"/>
    </row>
    <row r="7" spans="1:21">
      <c r="A7" s="66"/>
      <c r="B7" s="32">
        <v>8</v>
      </c>
      <c r="C7" s="32">
        <v>10</v>
      </c>
      <c r="D7" s="32">
        <f>WeaponData!$G$2</f>
        <v>4</v>
      </c>
      <c r="E7" s="32">
        <f>WeaponData!$H$2</f>
        <v>20</v>
      </c>
      <c r="F7" s="32">
        <f t="shared" si="0"/>
        <v>0.8</v>
      </c>
      <c r="G7" s="32">
        <f t="shared" si="1"/>
        <v>0.91999999999999993</v>
      </c>
      <c r="H7" s="32">
        <f t="shared" si="2"/>
        <v>18.72</v>
      </c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48"/>
      <c r="U7" s="48"/>
    </row>
    <row r="8" spans="1:21" ht="15.75" thickBot="1">
      <c r="A8" s="66"/>
      <c r="B8" s="32">
        <v>10</v>
      </c>
      <c r="C8" s="32">
        <v>10</v>
      </c>
      <c r="D8" s="32">
        <f>WeaponData!$G$2</f>
        <v>4</v>
      </c>
      <c r="E8" s="32">
        <f>WeaponData!$H$2</f>
        <v>20</v>
      </c>
      <c r="F8" s="32">
        <f t="shared" si="0"/>
        <v>1</v>
      </c>
      <c r="G8" s="32">
        <f t="shared" si="1"/>
        <v>1</v>
      </c>
      <c r="H8" s="32">
        <f t="shared" si="2"/>
        <v>20</v>
      </c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48"/>
      <c r="U8" s="48"/>
    </row>
    <row r="9" spans="1:21" ht="15.75" thickBot="1">
      <c r="A9" s="35" t="s">
        <v>136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48"/>
      <c r="U9" s="48"/>
    </row>
    <row r="10" spans="1:21">
      <c r="A10" s="66"/>
      <c r="B10" s="32">
        <v>0</v>
      </c>
      <c r="C10" s="32">
        <v>10</v>
      </c>
      <c r="D10" s="32">
        <f>WeaponData!$G$3</f>
        <v>10</v>
      </c>
      <c r="E10" s="32">
        <f>WeaponData!$H$3</f>
        <v>50</v>
      </c>
      <c r="F10" s="32">
        <f>MIN(B10/C10, 1)</f>
        <v>0</v>
      </c>
      <c r="G10" s="32">
        <f>IF(F10&lt;0.5, 2*F10^2, -1 + (4-2*F10)*F10)</f>
        <v>0</v>
      </c>
      <c r="H10" s="32">
        <f>D10+(E10-D10)*G10</f>
        <v>10</v>
      </c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48"/>
      <c r="U10" s="48"/>
    </row>
    <row r="11" spans="1:21">
      <c r="A11" s="66"/>
      <c r="B11" s="32">
        <v>2</v>
      </c>
      <c r="C11" s="32">
        <v>10</v>
      </c>
      <c r="D11" s="32">
        <f>WeaponData!$G$3</f>
        <v>10</v>
      </c>
      <c r="E11" s="32">
        <f>WeaponData!$H$3</f>
        <v>50</v>
      </c>
      <c r="F11" s="32">
        <f t="shared" ref="F11:F15" si="3">MIN(B11/C11, 1)</f>
        <v>0.2</v>
      </c>
      <c r="G11" s="32">
        <f t="shared" ref="G11:G15" si="4">IF(F11&lt;0.5, 2*F11^2, -1 + (4-2*F11)*F11)</f>
        <v>8.0000000000000016E-2</v>
      </c>
      <c r="H11" s="32">
        <f t="shared" ref="H11:H15" si="5">D11+(E11-D11)*G11</f>
        <v>13.200000000000001</v>
      </c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48"/>
      <c r="U11" s="48"/>
    </row>
    <row r="12" spans="1:21">
      <c r="A12" s="66"/>
      <c r="B12" s="32">
        <v>4</v>
      </c>
      <c r="C12" s="32">
        <v>10</v>
      </c>
      <c r="D12" s="32">
        <f>WeaponData!$G$3</f>
        <v>10</v>
      </c>
      <c r="E12" s="32">
        <f>WeaponData!$H$3</f>
        <v>50</v>
      </c>
      <c r="F12" s="32">
        <f t="shared" si="3"/>
        <v>0.4</v>
      </c>
      <c r="G12" s="32">
        <f t="shared" si="4"/>
        <v>0.32000000000000006</v>
      </c>
      <c r="H12" s="32">
        <f t="shared" si="5"/>
        <v>22.800000000000004</v>
      </c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48"/>
      <c r="U12" s="48"/>
    </row>
    <row r="13" spans="1:21">
      <c r="A13" s="66"/>
      <c r="B13" s="32">
        <v>6</v>
      </c>
      <c r="C13" s="32">
        <v>10</v>
      </c>
      <c r="D13" s="32">
        <f>WeaponData!$G$3</f>
        <v>10</v>
      </c>
      <c r="E13" s="32">
        <f>WeaponData!$H$3</f>
        <v>50</v>
      </c>
      <c r="F13" s="32">
        <f t="shared" si="3"/>
        <v>0.6</v>
      </c>
      <c r="G13" s="32">
        <f t="shared" si="4"/>
        <v>0.67999999999999994</v>
      </c>
      <c r="H13" s="32">
        <f t="shared" si="5"/>
        <v>37.199999999999996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48"/>
      <c r="U13" s="48"/>
    </row>
    <row r="14" spans="1:21">
      <c r="A14" s="66"/>
      <c r="B14" s="32">
        <v>8</v>
      </c>
      <c r="C14" s="32">
        <v>10</v>
      </c>
      <c r="D14" s="32">
        <f>WeaponData!$G$3</f>
        <v>10</v>
      </c>
      <c r="E14" s="32">
        <f>WeaponData!$H$3</f>
        <v>50</v>
      </c>
      <c r="F14" s="32">
        <f t="shared" si="3"/>
        <v>0.8</v>
      </c>
      <c r="G14" s="32">
        <f t="shared" si="4"/>
        <v>0.91999999999999993</v>
      </c>
      <c r="H14" s="32">
        <f t="shared" si="5"/>
        <v>46.8</v>
      </c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48"/>
      <c r="U14" s="48"/>
    </row>
    <row r="15" spans="1:21" ht="15.75" thickBot="1">
      <c r="A15" s="66"/>
      <c r="B15" s="32">
        <v>10</v>
      </c>
      <c r="C15" s="32">
        <v>10</v>
      </c>
      <c r="D15" s="32">
        <f>WeaponData!$G$3</f>
        <v>10</v>
      </c>
      <c r="E15" s="32">
        <f>WeaponData!$H$3</f>
        <v>50</v>
      </c>
      <c r="F15" s="32">
        <f t="shared" si="3"/>
        <v>1</v>
      </c>
      <c r="G15" s="32">
        <f t="shared" si="4"/>
        <v>1</v>
      </c>
      <c r="H15" s="32">
        <f t="shared" si="5"/>
        <v>50</v>
      </c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48"/>
      <c r="U15" s="48"/>
    </row>
    <row r="16" spans="1:21" ht="15.75" thickBot="1">
      <c r="A16" s="35" t="s">
        <v>137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</row>
    <row r="17" spans="1:24" ht="15.75" thickBot="1">
      <c r="A17" s="36" t="s">
        <v>138</v>
      </c>
      <c r="B17" s="35" t="s">
        <v>139</v>
      </c>
      <c r="C17" s="35" t="s">
        <v>140</v>
      </c>
      <c r="D17" s="35" t="s">
        <v>141</v>
      </c>
      <c r="E17" s="35" t="s">
        <v>142</v>
      </c>
      <c r="F17" s="35" t="s">
        <v>143</v>
      </c>
      <c r="G17" s="35" t="s">
        <v>144</v>
      </c>
      <c r="H17" s="35" t="s">
        <v>145</v>
      </c>
      <c r="I17" s="35" t="s">
        <v>146</v>
      </c>
      <c r="J17" s="67"/>
      <c r="K17" s="67"/>
      <c r="L17" s="67"/>
      <c r="M17" s="67"/>
      <c r="N17" s="67"/>
      <c r="O17" s="67"/>
      <c r="P17" s="67"/>
      <c r="Q17" s="67"/>
      <c r="R17" s="67"/>
    </row>
    <row r="18" spans="1:24" ht="15.75" thickBot="1">
      <c r="A18" s="67"/>
      <c r="B18" s="23">
        <v>300</v>
      </c>
      <c r="C18" s="23">
        <v>1</v>
      </c>
      <c r="D18" s="23">
        <v>45</v>
      </c>
      <c r="E18" s="23">
        <v>1</v>
      </c>
      <c r="F18" s="23">
        <v>45</v>
      </c>
      <c r="G18" s="23">
        <v>100</v>
      </c>
      <c r="H18" s="23">
        <v>50</v>
      </c>
      <c r="I18" s="23">
        <v>1.5</v>
      </c>
      <c r="J18" s="67"/>
      <c r="K18" s="67"/>
      <c r="L18" s="67"/>
      <c r="M18" s="67"/>
      <c r="N18" s="67"/>
      <c r="O18" s="67"/>
      <c r="P18" s="67"/>
      <c r="Q18" s="67"/>
      <c r="R18" s="67"/>
    </row>
    <row r="19" spans="1:24" ht="15.75" thickBot="1">
      <c r="A19" s="67"/>
      <c r="B19" s="35" t="s">
        <v>147</v>
      </c>
      <c r="C19" s="35" t="s">
        <v>148</v>
      </c>
      <c r="D19" s="35" t="s">
        <v>149</v>
      </c>
      <c r="E19" s="35" t="s">
        <v>150</v>
      </c>
      <c r="F19" s="35" t="s">
        <v>151</v>
      </c>
      <c r="G19" s="35" t="s">
        <v>152</v>
      </c>
      <c r="H19" s="35" t="s">
        <v>153</v>
      </c>
      <c r="I19" s="35" t="s">
        <v>154</v>
      </c>
      <c r="J19" s="44" t="s">
        <v>155</v>
      </c>
      <c r="K19" s="45" t="s">
        <v>156</v>
      </c>
      <c r="L19" s="67"/>
      <c r="M19" s="67"/>
      <c r="N19" s="67"/>
      <c r="O19" s="67"/>
      <c r="P19" s="67"/>
      <c r="Q19" s="67"/>
      <c r="R19" s="67"/>
    </row>
    <row r="20" spans="1:24">
      <c r="A20" s="67"/>
      <c r="B20" s="31">
        <v>1</v>
      </c>
      <c r="C20" s="31">
        <f ca="1">RANDBETWEEN($C$18,$D$18)</f>
        <v>42</v>
      </c>
      <c r="D20" s="31">
        <f ca="1">RANDBETWEEN($E$18,$F$18)</f>
        <v>5</v>
      </c>
      <c r="E20" s="37">
        <f ca="1">$B$18*SIN(RADIANS(C20)*COS(D20))</f>
        <v>61.932017986424</v>
      </c>
      <c r="F20" s="37">
        <f ca="1">$B$18*SIN(D20)</f>
        <v>-287.67728239894154</v>
      </c>
      <c r="G20" s="37">
        <f ca="1">$B$18*COS(C20)*COS(D20)</f>
        <v>-34.038212580837801</v>
      </c>
      <c r="H20" s="31" t="str">
        <f ca="1">IF(E20^2+G20^2 &lt;= $G$18^2,"HIT", "MISS")</f>
        <v>HIT</v>
      </c>
      <c r="I20" s="37">
        <f ca="1">IF(SQRT(E20^2 + G20^2) &gt; $H$18, E20 * $H$18 / SQRT(E20^2 + G20^2), E20)</f>
        <v>43.818082381024219</v>
      </c>
      <c r="J20" s="37">
        <f ca="1">IF(SQRT(E20^2 + G20^2) &gt; $H$18, G20 * $H$18 / SQRT(E20^2 + G20^2), G20)</f>
        <v>-24.082683746828856</v>
      </c>
      <c r="K20" s="38">
        <f ca="1">IF(H20="HIT",_xlfn.XLOOKUP($B$18,$B$31:$B$46,$C$31:$C$46)*WeaponsSystems!$I$18, _xlfn.XLOOKUP($B$18,$B$31:$B$46,$C$31:$C$46))</f>
        <v>28.392640338715069</v>
      </c>
      <c r="L20" s="67"/>
      <c r="M20" s="67"/>
      <c r="N20" s="67"/>
      <c r="O20" s="67"/>
      <c r="P20" s="67"/>
      <c r="Q20" s="67"/>
      <c r="R20" s="67"/>
    </row>
    <row r="21" spans="1:24">
      <c r="A21" s="67"/>
      <c r="B21" s="32">
        <v>2</v>
      </c>
      <c r="C21" s="32">
        <f t="shared" ref="C21:C25" ca="1" si="6">RANDBETWEEN($C$18,$D$18)</f>
        <v>19</v>
      </c>
      <c r="D21" s="32">
        <f t="shared" ref="D21:D25" ca="1" si="7">RANDBETWEEN($E$18,$F$18)</f>
        <v>44</v>
      </c>
      <c r="E21" s="38">
        <f t="shared" ref="E21:E25" ca="1" si="8">$B$18*SIN(RADIANS(C21)*COS(D21))</f>
        <v>97.655707229109325</v>
      </c>
      <c r="F21" s="38">
        <f t="shared" ref="F21:F25" ca="1" si="9">$B$18*SIN(D21)</f>
        <v>5.3105775316240731</v>
      </c>
      <c r="G21" s="38">
        <f t="shared" ref="G21:G25" ca="1" si="10">$B$18*COS(C21)*COS(D21)</f>
        <v>296.56490901690353</v>
      </c>
      <c r="H21" s="32" t="str">
        <f ca="1">IF(E21^2+G21^2 &lt;= $G$18^2,"HIT", "MISS")</f>
        <v>MISS</v>
      </c>
      <c r="I21" s="37">
        <f t="shared" ref="I21:I25" ca="1" si="11">IF(SQRT(E21^2 + G21^2) &gt; $H$18, E21 * $H$18 / SQRT(E21^2 + G21^2), E21)</f>
        <v>15.638440033981501</v>
      </c>
      <c r="J21" s="38">
        <f t="shared" ref="J21:J25" ca="1" si="12">IF(SQRT(E21^2 + G21^2) &gt; $H$18, G21 * $H$18 / SQRT(E21^2 + G21^2), G21)</f>
        <v>47.491464425763546</v>
      </c>
      <c r="K21" s="38">
        <f ca="1">IF(H21="HIT",_xlfn.XLOOKUP($B$18,$B$31:$B$46,$C$31:$C$46)*WeaponsSystems!$I$18, _xlfn.XLOOKUP($B$18,$B$31:$B$46,$C$31:$C$46))</f>
        <v>18.928426892476711</v>
      </c>
      <c r="L21" s="67"/>
      <c r="M21" s="67"/>
      <c r="N21" s="67"/>
      <c r="O21" s="67"/>
      <c r="P21" s="67"/>
      <c r="Q21" s="67"/>
      <c r="R21" s="67"/>
    </row>
    <row r="22" spans="1:24">
      <c r="A22" s="67"/>
      <c r="B22" s="32">
        <v>3</v>
      </c>
      <c r="C22" s="32">
        <f t="shared" ca="1" si="6"/>
        <v>3</v>
      </c>
      <c r="D22" s="32">
        <f t="shared" ca="1" si="7"/>
        <v>34</v>
      </c>
      <c r="E22" s="38">
        <f t="shared" ca="1" si="8"/>
        <v>-13.32492553646048</v>
      </c>
      <c r="F22" s="38">
        <f t="shared" ca="1" si="9"/>
        <v>158.72480583600716</v>
      </c>
      <c r="G22" s="38">
        <f t="shared" ca="1" si="10"/>
        <v>252.02346146248121</v>
      </c>
      <c r="H22" s="32" t="str">
        <f ca="1">IF(E22^2+G22^2 &lt;= $G$18^2,"HIT", "MISS")</f>
        <v>MISS</v>
      </c>
      <c r="I22" s="37">
        <f t="shared" ca="1" si="11"/>
        <v>-2.639901065114346</v>
      </c>
      <c r="J22" s="38">
        <f t="shared" ca="1" si="12"/>
        <v>49.93026058780795</v>
      </c>
      <c r="K22" s="38">
        <f ca="1">IF(H22="HIT",_xlfn.XLOOKUP($B$18,$B$31:$B$46,$C$31:$C$46)*WeaponsSystems!$I$18, _xlfn.XLOOKUP($B$18,$B$31:$B$46,$C$31:$C$46))</f>
        <v>18.928426892476711</v>
      </c>
      <c r="L22" s="67"/>
      <c r="M22" s="67"/>
      <c r="N22" s="67"/>
      <c r="O22" s="67"/>
      <c r="P22" s="67"/>
      <c r="Q22" s="67"/>
      <c r="R22" s="67"/>
    </row>
    <row r="23" spans="1:24" ht="15.75" thickBot="1">
      <c r="A23" s="67"/>
      <c r="B23" s="32">
        <v>4</v>
      </c>
      <c r="C23" s="32">
        <f t="shared" ca="1" si="6"/>
        <v>20</v>
      </c>
      <c r="D23" s="32">
        <f t="shared" ca="1" si="7"/>
        <v>30</v>
      </c>
      <c r="E23" s="38">
        <f t="shared" ca="1" si="8"/>
        <v>16.145370065492028</v>
      </c>
      <c r="F23" s="38">
        <f t="shared" ca="1" si="9"/>
        <v>-296.40948722785856</v>
      </c>
      <c r="G23" s="38">
        <f t="shared" ca="1" si="10"/>
        <v>18.88417491234912</v>
      </c>
      <c r="H23" s="32" t="str">
        <f ca="1">IF(E23^2+G23^2 &lt;= $G$18^2,"HIT", "MISS")</f>
        <v>HIT</v>
      </c>
      <c r="I23" s="37">
        <f t="shared" ca="1" si="11"/>
        <v>16.145370065492028</v>
      </c>
      <c r="J23" s="38">
        <f t="shared" ca="1" si="12"/>
        <v>18.88417491234912</v>
      </c>
      <c r="K23" s="38">
        <f ca="1">IF(H23="HIT",_xlfn.XLOOKUP($B$18,$B$31:$B$46,$C$31:$C$46)*WeaponsSystems!$I$18, _xlfn.XLOOKUP($B$18,$B$31:$B$46,$C$31:$C$46))</f>
        <v>28.392640338715069</v>
      </c>
      <c r="L23" s="67"/>
      <c r="M23" s="67"/>
      <c r="N23" s="67"/>
      <c r="O23" s="67"/>
      <c r="P23" s="67"/>
      <c r="Q23" s="67"/>
      <c r="R23" s="67"/>
    </row>
    <row r="24" spans="1:24">
      <c r="A24" s="67"/>
      <c r="B24" s="32">
        <v>5</v>
      </c>
      <c r="C24" s="32">
        <f t="shared" ca="1" si="6"/>
        <v>28</v>
      </c>
      <c r="D24" s="32">
        <f t="shared" ca="1" si="7"/>
        <v>1</v>
      </c>
      <c r="E24" s="38">
        <f t="shared" ca="1" si="8"/>
        <v>78.295237089881397</v>
      </c>
      <c r="F24" s="38">
        <f t="shared" ca="1" si="9"/>
        <v>252.44129544236895</v>
      </c>
      <c r="G24" s="38">
        <f t="shared" ca="1" si="10"/>
        <v>-156.0294507634255</v>
      </c>
      <c r="H24" s="32" t="str">
        <f ca="1">IF(E24^2+G24^2 &lt;= $G$18^2,"HIT", "MISS")</f>
        <v>MISS</v>
      </c>
      <c r="I24" s="37">
        <f t="shared" ca="1" si="11"/>
        <v>22.424930891342484</v>
      </c>
      <c r="J24" s="38">
        <f t="shared" ca="1" si="12"/>
        <v>-44.689176256880302</v>
      </c>
      <c r="K24" s="38">
        <f ca="1">IF(H24="HIT",_xlfn.XLOOKUP($B$18,$B$31:$B$46,$C$31:$C$46)*WeaponsSystems!$I$18, _xlfn.XLOOKUP($B$18,$B$31:$B$46,$C$31:$C$46))</f>
        <v>18.928426892476711</v>
      </c>
      <c r="L24" s="67"/>
      <c r="M24" s="67"/>
      <c r="N24" s="67"/>
      <c r="O24" s="67"/>
      <c r="P24" s="67"/>
      <c r="Q24" s="67"/>
      <c r="R24" s="67"/>
      <c r="U24" s="110" t="s">
        <v>157</v>
      </c>
      <c r="V24" s="111"/>
      <c r="W24" s="111"/>
      <c r="X24" s="112"/>
    </row>
    <row r="25" spans="1:24" ht="15.75" thickBot="1">
      <c r="A25" s="67"/>
      <c r="B25" s="32">
        <v>6</v>
      </c>
      <c r="C25" s="32">
        <f t="shared" ca="1" si="6"/>
        <v>24</v>
      </c>
      <c r="D25" s="32">
        <f t="shared" ca="1" si="7"/>
        <v>13</v>
      </c>
      <c r="E25" s="38">
        <f t="shared" ca="1" si="8"/>
        <v>111.30690279776056</v>
      </c>
      <c r="F25" s="38">
        <f t="shared" ca="1" si="9"/>
        <v>126.05011104799227</v>
      </c>
      <c r="G25" s="38">
        <f t="shared" ca="1" si="10"/>
        <v>115.47596249000911</v>
      </c>
      <c r="H25" s="32" t="str">
        <f ca="1">IF(E25^2+G25^2 &lt;= $G$18^2,"HIT", "MISS")</f>
        <v>MISS</v>
      </c>
      <c r="I25" s="37">
        <f t="shared" ca="1" si="11"/>
        <v>34.6995217679166</v>
      </c>
      <c r="J25" s="46">
        <f t="shared" ca="1" si="12"/>
        <v>35.999210950767832</v>
      </c>
      <c r="K25" s="38">
        <f ca="1">IF(H25="HIT",_xlfn.XLOOKUP($B$18,$B$31:$B$46,$C$31:$C$46)*WeaponsSystems!$I$18, _xlfn.XLOOKUP($B$18,$B$31:$B$46,$C$31:$C$46))</f>
        <v>18.928426892476711</v>
      </c>
      <c r="L25" s="67"/>
      <c r="M25" s="67"/>
      <c r="N25" s="67"/>
      <c r="O25" s="67"/>
      <c r="P25" s="67"/>
      <c r="Q25" s="67"/>
      <c r="R25" s="67"/>
      <c r="U25" s="113"/>
      <c r="V25" s="114"/>
      <c r="W25" s="114"/>
      <c r="X25" s="115"/>
    </row>
    <row r="26" spans="1:24" ht="15.75" thickBot="1">
      <c r="A26" s="67"/>
      <c r="B26" s="67"/>
      <c r="C26" s="67"/>
      <c r="D26" s="67"/>
      <c r="E26" s="67"/>
      <c r="F26" s="67"/>
      <c r="G26" s="67"/>
      <c r="H26" s="67"/>
      <c r="I26" s="67"/>
      <c r="J26" s="35" t="s">
        <v>158</v>
      </c>
      <c r="K26" s="47">
        <f ca="1">K20+K21+K22+K23+K24+K25</f>
        <v>132.49898824733697</v>
      </c>
      <c r="L26" s="67"/>
      <c r="M26" s="67"/>
      <c r="N26" s="67"/>
      <c r="O26" s="67"/>
      <c r="P26" s="67"/>
      <c r="Q26" s="67"/>
      <c r="R26" s="67"/>
      <c r="U26" s="113"/>
      <c r="V26" s="114"/>
      <c r="W26" s="114"/>
      <c r="X26" s="115"/>
    </row>
    <row r="27" spans="1:24" ht="15.75" thickBot="1">
      <c r="A27" s="35" t="s">
        <v>159</v>
      </c>
      <c r="B27" s="68"/>
      <c r="C27" s="68"/>
      <c r="D27" s="68"/>
      <c r="E27" s="68"/>
      <c r="F27" s="68"/>
      <c r="G27" s="68"/>
      <c r="H27" s="68"/>
      <c r="I27" s="67"/>
      <c r="J27" s="67"/>
      <c r="K27" s="67"/>
      <c r="L27" s="67"/>
      <c r="M27" s="67"/>
      <c r="N27" s="67"/>
      <c r="O27" s="67"/>
      <c r="P27" s="67"/>
      <c r="Q27" s="67"/>
      <c r="R27" s="67"/>
      <c r="U27" s="113"/>
      <c r="V27" s="114"/>
      <c r="W27" s="114"/>
      <c r="X27" s="115"/>
    </row>
    <row r="28" spans="1:24" ht="15.75" thickBot="1">
      <c r="A28" s="68"/>
      <c r="B28" s="35" t="s">
        <v>131</v>
      </c>
      <c r="C28" s="35" t="s">
        <v>132</v>
      </c>
      <c r="D28" s="35" t="s">
        <v>160</v>
      </c>
      <c r="E28" s="35" t="s">
        <v>161</v>
      </c>
      <c r="F28" s="35" t="s">
        <v>162</v>
      </c>
      <c r="G28" s="68"/>
      <c r="H28" s="68"/>
      <c r="L28" s="67"/>
      <c r="M28" s="67"/>
      <c r="N28" s="67"/>
      <c r="O28" s="67"/>
      <c r="P28" s="67"/>
      <c r="Q28" s="67"/>
      <c r="R28" s="67"/>
      <c r="U28" s="116"/>
      <c r="V28" s="117"/>
      <c r="W28" s="117"/>
      <c r="X28" s="118"/>
    </row>
    <row r="29" spans="1:24" ht="15.75" thickBot="1">
      <c r="A29" s="68"/>
      <c r="B29" s="39">
        <f>UmbrellaData!G2</f>
        <v>1</v>
      </c>
      <c r="C29" s="39">
        <f>UmbrellaData!H2</f>
        <v>25</v>
      </c>
      <c r="D29" s="31">
        <f>UmbrellaData!F2</f>
        <v>750</v>
      </c>
      <c r="E29" s="11">
        <v>50</v>
      </c>
      <c r="F29" s="11">
        <v>1.5</v>
      </c>
      <c r="G29" s="68"/>
      <c r="H29" s="68"/>
      <c r="L29" s="67"/>
      <c r="M29" s="67"/>
      <c r="N29" s="67"/>
      <c r="O29" s="67"/>
      <c r="P29" s="67"/>
      <c r="Q29" s="67"/>
      <c r="R29" s="67"/>
    </row>
    <row r="30" spans="1:24" ht="15.75" thickBot="1">
      <c r="A30" s="68"/>
      <c r="B30" s="35" t="s">
        <v>163</v>
      </c>
      <c r="C30" s="35" t="s">
        <v>164</v>
      </c>
      <c r="D30" s="68"/>
      <c r="E30" s="68"/>
      <c r="F30" s="68"/>
      <c r="G30" s="68"/>
      <c r="H30" s="68"/>
      <c r="L30" s="67"/>
      <c r="M30" s="67"/>
      <c r="N30" s="67"/>
      <c r="O30" s="67"/>
      <c r="P30" s="67"/>
      <c r="Q30" s="67"/>
      <c r="R30" s="67"/>
    </row>
    <row r="31" spans="1:24">
      <c r="A31" s="68"/>
      <c r="B31" s="31">
        <f>0</f>
        <v>0</v>
      </c>
      <c r="C31" s="37">
        <f>IF(B31&gt;=$D$29,$B$29,$C$29-(($C$29-$B$29)*(B31/$D$29)^$F$29))</f>
        <v>25</v>
      </c>
      <c r="D31" s="68"/>
      <c r="E31" s="68"/>
      <c r="F31" s="68"/>
      <c r="G31" s="68"/>
      <c r="H31" s="68"/>
      <c r="L31" s="67"/>
      <c r="M31" s="67"/>
      <c r="N31" s="67"/>
      <c r="O31" s="67"/>
      <c r="P31" s="67"/>
      <c r="Q31" s="67"/>
      <c r="R31" s="67"/>
    </row>
    <row r="32" spans="1:24">
      <c r="A32" s="68"/>
      <c r="B32" s="32">
        <f>B31+$E$29</f>
        <v>50</v>
      </c>
      <c r="C32" s="38">
        <f t="shared" ref="C32:C46" si="13">IF(B32&gt;=$D$29,$B$29,$C$29-(($C$29-$B$29)*(B32/$D$29)^$F$29))</f>
        <v>24.586881776404542</v>
      </c>
      <c r="D32" s="68"/>
      <c r="E32" s="68"/>
      <c r="F32" s="68"/>
      <c r="G32" s="68"/>
      <c r="H32" s="68"/>
      <c r="L32" s="67"/>
      <c r="M32" s="67"/>
      <c r="N32" s="67"/>
      <c r="O32" s="67"/>
      <c r="P32" s="67"/>
      <c r="Q32" s="67"/>
      <c r="R32" s="67"/>
    </row>
    <row r="33" spans="1:23">
      <c r="A33" s="68"/>
      <c r="B33" s="32">
        <f t="shared" ref="B33:B45" si="14">B32+$E$29</f>
        <v>100</v>
      </c>
      <c r="C33" s="38">
        <f t="shared" si="13"/>
        <v>23.831525210655645</v>
      </c>
      <c r="D33" s="68"/>
      <c r="E33" s="68"/>
      <c r="F33" s="68"/>
      <c r="G33" s="68"/>
      <c r="H33" s="68"/>
      <c r="L33" s="67"/>
      <c r="M33" s="67"/>
      <c r="N33" s="67"/>
      <c r="O33" s="67"/>
      <c r="P33" s="67"/>
      <c r="Q33" s="67"/>
      <c r="R33" s="67"/>
    </row>
    <row r="34" spans="1:23">
      <c r="A34" s="68"/>
      <c r="B34" s="32">
        <f t="shared" si="14"/>
        <v>150</v>
      </c>
      <c r="C34" s="38">
        <f t="shared" si="13"/>
        <v>22.853374741600202</v>
      </c>
      <c r="D34" s="68"/>
      <c r="E34" s="68"/>
      <c r="F34" s="68"/>
      <c r="G34" s="68"/>
      <c r="H34" s="68"/>
    </row>
    <row r="35" spans="1:23">
      <c r="A35" s="68"/>
      <c r="B35" s="32">
        <f t="shared" si="14"/>
        <v>200</v>
      </c>
      <c r="C35" s="38">
        <f t="shared" si="13"/>
        <v>21.695054211236339</v>
      </c>
      <c r="D35" s="68"/>
      <c r="E35" s="68"/>
      <c r="F35" s="68"/>
      <c r="G35" s="68"/>
      <c r="H35" s="68"/>
    </row>
    <row r="36" spans="1:23">
      <c r="A36" s="68"/>
      <c r="B36" s="32">
        <f t="shared" si="14"/>
        <v>250</v>
      </c>
      <c r="C36" s="38">
        <f t="shared" si="13"/>
        <v>20.381197846482994</v>
      </c>
      <c r="D36" s="68"/>
      <c r="E36" s="68"/>
      <c r="F36" s="68"/>
      <c r="G36" s="68"/>
      <c r="H36" s="68"/>
    </row>
    <row r="37" spans="1:23">
      <c r="A37" s="68"/>
      <c r="B37" s="32">
        <f t="shared" si="14"/>
        <v>300</v>
      </c>
      <c r="C37" s="38">
        <f t="shared" si="13"/>
        <v>18.928426892476711</v>
      </c>
      <c r="D37" s="68"/>
      <c r="E37" s="68"/>
      <c r="F37" s="68"/>
      <c r="G37" s="68"/>
      <c r="H37" s="68"/>
      <c r="W37" s="79"/>
    </row>
    <row r="38" spans="1:23">
      <c r="A38" s="68"/>
      <c r="B38" s="32">
        <f t="shared" si="14"/>
        <v>350</v>
      </c>
      <c r="C38" s="38">
        <f t="shared" si="13"/>
        <v>17.348943428083501</v>
      </c>
      <c r="D38" s="68"/>
      <c r="E38" s="68"/>
      <c r="F38" s="68"/>
      <c r="G38" s="68"/>
      <c r="H38" s="68"/>
    </row>
    <row r="39" spans="1:23">
      <c r="A39" s="68"/>
      <c r="B39" s="32">
        <f t="shared" si="14"/>
        <v>400</v>
      </c>
      <c r="C39" s="38">
        <f t="shared" si="13"/>
        <v>15.652201685245165</v>
      </c>
      <c r="D39" s="68"/>
      <c r="E39" s="68"/>
      <c r="F39" s="68"/>
      <c r="G39" s="68"/>
      <c r="H39" s="68"/>
    </row>
    <row r="40" spans="1:23">
      <c r="A40" s="68"/>
      <c r="B40" s="32">
        <f t="shared" si="14"/>
        <v>450</v>
      </c>
      <c r="C40" s="38">
        <f t="shared" si="13"/>
        <v>13.84580796292264</v>
      </c>
      <c r="D40" s="68"/>
      <c r="E40" s="68"/>
      <c r="F40" s="68"/>
      <c r="G40" s="68"/>
      <c r="H40" s="68"/>
    </row>
    <row r="41" spans="1:23">
      <c r="A41" s="68"/>
      <c r="B41" s="32">
        <f t="shared" si="14"/>
        <v>500</v>
      </c>
      <c r="C41" s="38">
        <f t="shared" si="13"/>
        <v>11.936054705156387</v>
      </c>
      <c r="D41" s="68"/>
      <c r="E41" s="68"/>
      <c r="F41" s="68"/>
      <c r="G41" s="68"/>
      <c r="H41" s="68"/>
    </row>
    <row r="42" spans="1:23">
      <c r="A42" s="68"/>
      <c r="B42" s="32">
        <f t="shared" si="14"/>
        <v>550</v>
      </c>
      <c r="C42" s="38">
        <f t="shared" si="13"/>
        <v>9.9282604410329185</v>
      </c>
      <c r="D42" s="68"/>
      <c r="E42" s="68"/>
      <c r="F42" s="68"/>
      <c r="G42" s="68"/>
      <c r="H42" s="68"/>
    </row>
    <row r="43" spans="1:23">
      <c r="A43" s="68"/>
      <c r="B43" s="32">
        <f t="shared" si="14"/>
        <v>600</v>
      </c>
      <c r="C43" s="38">
        <f t="shared" si="13"/>
        <v>7.8269979328016142</v>
      </c>
      <c r="D43" s="68"/>
      <c r="E43" s="68"/>
      <c r="F43" s="68"/>
      <c r="G43" s="68"/>
      <c r="H43" s="68"/>
    </row>
    <row r="44" spans="1:23">
      <c r="A44" s="68"/>
      <c r="B44" s="32">
        <f t="shared" si="14"/>
        <v>650</v>
      </c>
      <c r="C44" s="38">
        <f t="shared" si="13"/>
        <v>5.6362538059737339</v>
      </c>
      <c r="D44" s="68"/>
      <c r="E44" s="68"/>
      <c r="F44" s="68"/>
      <c r="G44" s="68"/>
      <c r="H44" s="68"/>
    </row>
    <row r="45" spans="1:23">
      <c r="A45" s="68"/>
      <c r="B45" s="32">
        <f t="shared" si="14"/>
        <v>700</v>
      </c>
      <c r="C45" s="38">
        <f t="shared" si="13"/>
        <v>3.3595440590237722</v>
      </c>
      <c r="D45" s="68"/>
      <c r="E45" s="68"/>
      <c r="F45" s="68"/>
      <c r="G45" s="68"/>
      <c r="H45" s="68"/>
    </row>
    <row r="46" spans="1:23" ht="15.75" thickBot="1">
      <c r="A46" s="68"/>
      <c r="B46" s="32">
        <f>B45+$E$29</f>
        <v>750</v>
      </c>
      <c r="C46" s="38">
        <f t="shared" si="13"/>
        <v>1</v>
      </c>
      <c r="D46" s="68"/>
      <c r="E46" s="68"/>
      <c r="F46" s="68"/>
      <c r="G46" s="68"/>
      <c r="H46" s="68"/>
    </row>
    <row r="47" spans="1:23" ht="15.75" thickBot="1">
      <c r="A47" s="35" t="s">
        <v>165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</row>
    <row r="48" spans="1:23" ht="15.75" thickBot="1">
      <c r="A48" s="69"/>
      <c r="B48" s="35" t="s">
        <v>131</v>
      </c>
      <c r="C48" s="35" t="s">
        <v>132</v>
      </c>
      <c r="D48" s="35" t="s">
        <v>160</v>
      </c>
      <c r="E48" s="35" t="s">
        <v>166</v>
      </c>
      <c r="F48" s="35" t="s">
        <v>167</v>
      </c>
      <c r="G48" s="35" t="s">
        <v>168</v>
      </c>
      <c r="H48" s="35" t="s">
        <v>169</v>
      </c>
      <c r="I48" s="69"/>
      <c r="J48" s="69"/>
      <c r="K48" s="69"/>
    </row>
    <row r="49" spans="1:11" ht="15.75" thickBot="1">
      <c r="A49" s="69"/>
      <c r="B49" s="39">
        <f>WeaponData!G2</f>
        <v>4</v>
      </c>
      <c r="C49" s="39">
        <f>WeaponData!H2</f>
        <v>20</v>
      </c>
      <c r="D49" s="31">
        <f>WeaponData!F2</f>
        <v>1500</v>
      </c>
      <c r="E49" s="11">
        <f>WeaponData!R2</f>
        <v>5.4999999999999997E-3</v>
      </c>
      <c r="F49" s="31">
        <v>750</v>
      </c>
      <c r="G49" s="11">
        <f>WeaponData!S2</f>
        <v>7.0000000000000001E-3</v>
      </c>
      <c r="H49" s="31">
        <v>50</v>
      </c>
      <c r="I49" s="69"/>
      <c r="J49" s="69"/>
      <c r="K49" s="69"/>
    </row>
    <row r="50" spans="1:11" ht="15.75" thickBot="1">
      <c r="A50" s="69"/>
      <c r="B50" s="35" t="s">
        <v>163</v>
      </c>
      <c r="C50" s="35" t="s">
        <v>164</v>
      </c>
      <c r="D50" s="69"/>
      <c r="E50" s="69"/>
      <c r="F50" s="69"/>
      <c r="G50" s="69"/>
      <c r="H50" s="69"/>
      <c r="I50" s="69"/>
      <c r="J50" s="69"/>
      <c r="K50" s="69"/>
    </row>
    <row r="51" spans="1:11">
      <c r="A51" s="69"/>
      <c r="B51" s="31">
        <f>0</f>
        <v>0</v>
      </c>
      <c r="C51" s="37">
        <f>IF(B51&lt;$F$49,$B$49+($C$49-$B$49)*(1-(1/(1+EXP(-$E$49*(B51-$F$49))))),$B$49+($C$49-$B$49)*(1-(1/(1+EXP(-$G$49*(B51-$F$49)))))
)</f>
        <v>19.745497732610964</v>
      </c>
      <c r="D51" s="69"/>
      <c r="E51" s="69"/>
      <c r="F51" s="69"/>
      <c r="G51" s="69"/>
      <c r="H51" s="69"/>
      <c r="I51" s="69"/>
      <c r="J51" s="69"/>
      <c r="K51" s="69"/>
    </row>
    <row r="52" spans="1:11">
      <c r="A52" s="69"/>
      <c r="B52" s="32">
        <f>B51+$H$49</f>
        <v>50</v>
      </c>
      <c r="C52" s="37">
        <f t="shared" ref="C52:C81" si="15">IF(B52&lt;$F$49,$B$49+($C$49-$B$49)*(1-(1/(1+EXP(-$E$49*(B52-$F$49))))),$B$49+($C$49-$B$49)*(1-(1/(1+EXP(-$G$49*(B52-$F$49)))))
)</f>
        <v>19.666618487701115</v>
      </c>
      <c r="D52" s="69"/>
      <c r="E52" s="69"/>
      <c r="F52" s="69"/>
      <c r="G52" s="69"/>
      <c r="H52" s="69"/>
      <c r="I52" s="69"/>
      <c r="J52" s="69"/>
      <c r="K52" s="69"/>
    </row>
    <row r="53" spans="1:11">
      <c r="A53" s="69"/>
      <c r="B53" s="32">
        <f t="shared" ref="B53:B81" si="16">B52+$H$49</f>
        <v>100</v>
      </c>
      <c r="C53" s="37">
        <f>IF(B53&lt;$F$49,$B$49+($C$49-$B$49)*(1-(1/(1+EXP(-$E$49*(B53-$F$49))))),$B$49+($C$49-$B$49)*(1-(1/(1+EXP(-$G$49*(B53-$F$49)))))
)</f>
        <v>19.563968787676544</v>
      </c>
      <c r="D53" s="69"/>
      <c r="E53" s="69"/>
      <c r="F53" s="69"/>
      <c r="G53" s="69"/>
      <c r="H53" s="69"/>
      <c r="I53" s="69"/>
      <c r="J53" s="69"/>
      <c r="K53" s="69"/>
    </row>
    <row r="54" spans="1:11">
      <c r="A54" s="69"/>
      <c r="B54" s="32">
        <f t="shared" si="16"/>
        <v>150</v>
      </c>
      <c r="C54" s="37">
        <f t="shared" si="15"/>
        <v>19.43086097163782</v>
      </c>
      <c r="D54" s="69"/>
      <c r="E54" s="69"/>
      <c r="F54" s="69"/>
      <c r="G54" s="69"/>
      <c r="H54" s="69"/>
      <c r="I54" s="69"/>
      <c r="J54" s="69"/>
      <c r="K54" s="69"/>
    </row>
    <row r="55" spans="1:11">
      <c r="A55" s="69"/>
      <c r="B55" s="32">
        <f t="shared" si="16"/>
        <v>200</v>
      </c>
      <c r="C55" s="37">
        <f t="shared" si="15"/>
        <v>19.259053602423993</v>
      </c>
      <c r="D55" s="69"/>
      <c r="E55" s="69"/>
      <c r="F55" s="69"/>
      <c r="G55" s="69"/>
      <c r="H55" s="69"/>
      <c r="I55" s="69"/>
      <c r="J55" s="69"/>
      <c r="K55" s="69"/>
    </row>
    <row r="56" spans="1:11">
      <c r="A56" s="69"/>
      <c r="B56" s="32">
        <f t="shared" si="16"/>
        <v>250</v>
      </c>
      <c r="C56" s="37">
        <f t="shared" si="15"/>
        <v>19.038613597215878</v>
      </c>
      <c r="D56" s="69"/>
      <c r="E56" s="69"/>
      <c r="F56" s="69"/>
      <c r="G56" s="69"/>
      <c r="H56" s="69"/>
      <c r="I56" s="69"/>
      <c r="J56" s="69"/>
      <c r="K56" s="69"/>
    </row>
    <row r="57" spans="1:11">
      <c r="A57" s="69"/>
      <c r="B57" s="32">
        <f t="shared" si="16"/>
        <v>300</v>
      </c>
      <c r="C57" s="37">
        <f t="shared" si="15"/>
        <v>18.757928599096186</v>
      </c>
      <c r="D57" s="69"/>
      <c r="E57" s="69"/>
      <c r="F57" s="69"/>
      <c r="G57" s="69"/>
      <c r="H57" s="69"/>
      <c r="I57" s="69"/>
      <c r="J57" s="69"/>
      <c r="K57" s="69"/>
    </row>
    <row r="58" spans="1:11">
      <c r="A58" s="69"/>
      <c r="B58" s="32">
        <f t="shared" si="16"/>
        <v>350</v>
      </c>
      <c r="C58" s="37">
        <f t="shared" si="15"/>
        <v>18.403992174085037</v>
      </c>
      <c r="D58" s="69"/>
      <c r="E58" s="69"/>
      <c r="F58" s="69"/>
      <c r="G58" s="69"/>
      <c r="H58" s="69"/>
      <c r="I58" s="69"/>
      <c r="J58" s="69"/>
      <c r="K58" s="69"/>
    </row>
    <row r="59" spans="1:11">
      <c r="A59" s="69"/>
      <c r="B59" s="32">
        <f t="shared" si="16"/>
        <v>400</v>
      </c>
      <c r="C59" s="37">
        <f t="shared" si="15"/>
        <v>17.963119390794052</v>
      </c>
      <c r="D59" s="69"/>
      <c r="E59" s="69"/>
      <c r="F59" s="69"/>
      <c r="G59" s="69"/>
      <c r="H59" s="69"/>
      <c r="I59" s="69"/>
      <c r="J59" s="69"/>
      <c r="K59" s="69"/>
    </row>
    <row r="60" spans="1:11">
      <c r="A60" s="69"/>
      <c r="B60" s="32">
        <f t="shared" si="16"/>
        <v>450</v>
      </c>
      <c r="C60" s="37">
        <f t="shared" si="15"/>
        <v>17.422256806774634</v>
      </c>
      <c r="D60" s="69"/>
      <c r="E60" s="69"/>
      <c r="F60" s="69"/>
      <c r="G60" s="69"/>
      <c r="H60" s="69"/>
      <c r="I60" s="69"/>
      <c r="J60" s="69"/>
      <c r="K60" s="69"/>
    </row>
    <row r="61" spans="1:11">
      <c r="A61" s="69"/>
      <c r="B61" s="32">
        <f t="shared" si="16"/>
        <v>500</v>
      </c>
      <c r="C61" s="37">
        <f t="shared" si="15"/>
        <v>16.770988443833939</v>
      </c>
      <c r="D61" s="69"/>
      <c r="E61" s="69"/>
      <c r="F61" s="69"/>
      <c r="G61" s="69"/>
      <c r="H61" s="69"/>
      <c r="I61" s="69"/>
      <c r="J61" s="69"/>
      <c r="K61" s="69"/>
    </row>
    <row r="62" spans="1:11">
      <c r="A62" s="69"/>
      <c r="B62" s="32">
        <f t="shared" si="16"/>
        <v>550</v>
      </c>
      <c r="C62" s="37">
        <f t="shared" si="15"/>
        <v>16.004161689521879</v>
      </c>
      <c r="D62" s="69"/>
      <c r="E62" s="69"/>
      <c r="F62" s="69"/>
      <c r="G62" s="69"/>
      <c r="H62" s="69"/>
      <c r="I62" s="69"/>
      <c r="J62" s="69"/>
      <c r="K62" s="69"/>
    </row>
    <row r="63" spans="1:11">
      <c r="A63" s="69"/>
      <c r="B63" s="32">
        <f t="shared" si="16"/>
        <v>600</v>
      </c>
      <c r="C63" s="37">
        <f t="shared" si="15"/>
        <v>15.124746709561046</v>
      </c>
      <c r="D63" s="69"/>
      <c r="E63" s="69"/>
      <c r="F63" s="69"/>
      <c r="G63" s="69"/>
      <c r="H63" s="69"/>
      <c r="I63" s="69"/>
      <c r="J63" s="69"/>
      <c r="K63" s="69"/>
    </row>
    <row r="64" spans="1:11">
      <c r="A64" s="69"/>
      <c r="B64" s="32">
        <f t="shared" si="16"/>
        <v>650</v>
      </c>
      <c r="C64" s="37">
        <f t="shared" si="15"/>
        <v>14.14616945617281</v>
      </c>
      <c r="D64" s="69"/>
      <c r="E64" s="69"/>
      <c r="F64" s="69"/>
      <c r="G64" s="69"/>
      <c r="H64" s="69"/>
      <c r="I64" s="69"/>
      <c r="J64" s="69"/>
      <c r="K64" s="69"/>
    </row>
    <row r="65" spans="1:11">
      <c r="A65" s="69"/>
      <c r="B65" s="32">
        <f t="shared" si="16"/>
        <v>700</v>
      </c>
      <c r="C65" s="37">
        <f t="shared" si="15"/>
        <v>13.093119735651969</v>
      </c>
      <c r="D65" s="69"/>
      <c r="E65" s="69"/>
      <c r="F65" s="69"/>
      <c r="G65" s="69"/>
      <c r="H65" s="69"/>
      <c r="I65" s="69"/>
      <c r="J65" s="69"/>
      <c r="K65" s="69"/>
    </row>
    <row r="66" spans="1:11">
      <c r="A66" s="69"/>
      <c r="B66" s="32">
        <f t="shared" si="16"/>
        <v>750</v>
      </c>
      <c r="C66" s="37">
        <f t="shared" si="15"/>
        <v>12</v>
      </c>
      <c r="D66" s="69"/>
      <c r="E66" s="69"/>
      <c r="F66" s="69"/>
      <c r="G66" s="69"/>
      <c r="H66" s="69"/>
      <c r="I66" s="69"/>
      <c r="J66" s="69"/>
      <c r="K66" s="69"/>
    </row>
    <row r="67" spans="1:11">
      <c r="A67" s="69"/>
      <c r="B67" s="32">
        <f t="shared" si="16"/>
        <v>800</v>
      </c>
      <c r="C67" s="37">
        <f t="shared" si="15"/>
        <v>10.614118737322718</v>
      </c>
      <c r="D67" s="69"/>
      <c r="E67" s="69"/>
      <c r="F67" s="69"/>
      <c r="G67" s="69"/>
      <c r="H67" s="69"/>
      <c r="I67" s="69"/>
      <c r="J67" s="69"/>
      <c r="K67" s="69"/>
    </row>
    <row r="68" spans="1:11">
      <c r="A68" s="69"/>
      <c r="B68" s="32">
        <f t="shared" si="16"/>
        <v>850</v>
      </c>
      <c r="C68" s="37">
        <f t="shared" si="15"/>
        <v>9.3089956453093414</v>
      </c>
      <c r="D68" s="69"/>
      <c r="E68" s="69"/>
      <c r="F68" s="69"/>
      <c r="G68" s="69"/>
      <c r="H68" s="69"/>
      <c r="I68" s="69"/>
      <c r="J68" s="69"/>
      <c r="K68" s="69"/>
    </row>
    <row r="69" spans="1:11">
      <c r="A69" s="69"/>
      <c r="B69" s="32">
        <f t="shared" si="16"/>
        <v>900</v>
      </c>
      <c r="C69" s="37">
        <f t="shared" si="15"/>
        <v>8.147601613085536</v>
      </c>
      <c r="D69" s="69"/>
      <c r="E69" s="69"/>
      <c r="F69" s="69"/>
      <c r="G69" s="69"/>
      <c r="H69" s="69"/>
      <c r="I69" s="69"/>
      <c r="J69" s="69"/>
      <c r="K69" s="69"/>
    </row>
    <row r="70" spans="1:11">
      <c r="A70" s="69"/>
      <c r="B70" s="32">
        <f t="shared" si="16"/>
        <v>950</v>
      </c>
      <c r="C70" s="37">
        <f t="shared" si="15"/>
        <v>7.1650577830626911</v>
      </c>
      <c r="D70" s="69"/>
      <c r="E70" s="69"/>
      <c r="F70" s="69"/>
      <c r="G70" s="69"/>
      <c r="H70" s="69"/>
      <c r="I70" s="69"/>
      <c r="J70" s="69"/>
      <c r="K70" s="69"/>
    </row>
    <row r="71" spans="1:11">
      <c r="A71" s="69"/>
      <c r="B71" s="32">
        <f t="shared" si="16"/>
        <v>1000</v>
      </c>
      <c r="C71" s="37">
        <f t="shared" si="15"/>
        <v>6.3687551685070307</v>
      </c>
      <c r="D71" s="69"/>
      <c r="E71" s="69"/>
      <c r="F71" s="69"/>
      <c r="G71" s="69"/>
      <c r="H71" s="69"/>
      <c r="I71" s="69"/>
      <c r="J71" s="69"/>
      <c r="K71" s="69"/>
    </row>
    <row r="72" spans="1:11">
      <c r="A72" s="69"/>
      <c r="B72" s="32">
        <f t="shared" si="16"/>
        <v>1050</v>
      </c>
      <c r="C72" s="37">
        <f t="shared" si="15"/>
        <v>5.7455491391298068</v>
      </c>
      <c r="D72" s="69"/>
      <c r="E72" s="69"/>
      <c r="F72" s="69"/>
      <c r="G72" s="69"/>
      <c r="H72" s="69"/>
      <c r="I72" s="69"/>
      <c r="J72" s="69"/>
      <c r="K72" s="69"/>
    </row>
    <row r="73" spans="1:11">
      <c r="A73" s="69"/>
      <c r="B73" s="32">
        <f t="shared" si="16"/>
        <v>1100</v>
      </c>
      <c r="C73" s="37">
        <f t="shared" si="15"/>
        <v>5.2710167869436546</v>
      </c>
      <c r="D73" s="69"/>
      <c r="E73" s="69"/>
      <c r="F73" s="69"/>
      <c r="G73" s="69"/>
      <c r="H73" s="69"/>
      <c r="I73" s="69"/>
      <c r="J73" s="69"/>
      <c r="K73" s="69"/>
    </row>
    <row r="74" spans="1:11">
      <c r="A74" s="69"/>
      <c r="B74" s="32">
        <f t="shared" si="16"/>
        <v>1150</v>
      </c>
      <c r="C74" s="37">
        <f t="shared" si="15"/>
        <v>4.9171868143818998</v>
      </c>
      <c r="D74" s="69"/>
      <c r="E74" s="69"/>
      <c r="F74" s="69"/>
      <c r="G74" s="69"/>
      <c r="H74" s="69"/>
      <c r="I74" s="69"/>
      <c r="J74" s="69"/>
      <c r="K74" s="69"/>
    </row>
    <row r="75" spans="1:11">
      <c r="A75" s="69"/>
      <c r="B75" s="32">
        <f t="shared" si="16"/>
        <v>1200</v>
      </c>
      <c r="C75" s="37">
        <f t="shared" si="15"/>
        <v>4.6574604512074398</v>
      </c>
      <c r="D75" s="69"/>
      <c r="E75" s="69"/>
      <c r="F75" s="69"/>
      <c r="G75" s="69"/>
      <c r="H75" s="69"/>
      <c r="I75" s="69"/>
      <c r="J75" s="69"/>
      <c r="K75" s="69"/>
    </row>
    <row r="76" spans="1:11">
      <c r="A76" s="69"/>
      <c r="B76" s="32">
        <f t="shared" si="16"/>
        <v>1250</v>
      </c>
      <c r="C76" s="37">
        <f t="shared" si="15"/>
        <v>4.4689956920217018</v>
      </c>
      <c r="D76" s="69"/>
      <c r="E76" s="69"/>
      <c r="F76" s="69"/>
      <c r="G76" s="69"/>
      <c r="H76" s="69"/>
      <c r="I76" s="69"/>
      <c r="J76" s="69"/>
      <c r="K76" s="69"/>
    </row>
    <row r="77" spans="1:11">
      <c r="A77" s="69"/>
      <c r="B77" s="32">
        <f t="shared" si="16"/>
        <v>1300</v>
      </c>
      <c r="C77" s="37">
        <f t="shared" si="15"/>
        <v>4.333381512298887</v>
      </c>
      <c r="D77" s="69"/>
      <c r="E77" s="69"/>
      <c r="F77" s="69"/>
      <c r="G77" s="69"/>
      <c r="H77" s="69"/>
      <c r="I77" s="69"/>
      <c r="J77" s="69"/>
      <c r="K77" s="69"/>
    </row>
    <row r="78" spans="1:11">
      <c r="A78" s="69"/>
      <c r="B78" s="32">
        <f t="shared" si="16"/>
        <v>1350</v>
      </c>
      <c r="C78" s="37">
        <f t="shared" si="15"/>
        <v>4.2363845070923691</v>
      </c>
      <c r="D78" s="69"/>
      <c r="E78" s="69"/>
      <c r="F78" s="69"/>
      <c r="G78" s="69"/>
      <c r="H78" s="69"/>
      <c r="I78" s="69"/>
      <c r="J78" s="69"/>
      <c r="K78" s="69"/>
    </row>
    <row r="79" spans="1:11">
      <c r="A79" s="69"/>
      <c r="B79" s="32">
        <f t="shared" si="16"/>
        <v>1400</v>
      </c>
      <c r="C79" s="37">
        <f t="shared" si="15"/>
        <v>4.167307299710691</v>
      </c>
      <c r="D79" s="69"/>
      <c r="E79" s="69"/>
      <c r="F79" s="69"/>
      <c r="G79" s="69"/>
      <c r="H79" s="69"/>
      <c r="I79" s="69"/>
      <c r="J79" s="69"/>
      <c r="K79" s="69"/>
    </row>
    <row r="80" spans="1:11">
      <c r="A80" s="69"/>
      <c r="B80" s="32">
        <f t="shared" si="16"/>
        <v>1450</v>
      </c>
      <c r="C80" s="37">
        <f t="shared" si="15"/>
        <v>4.1182646615085101</v>
      </c>
      <c r="D80" s="69"/>
      <c r="E80" s="69"/>
      <c r="F80" s="69"/>
      <c r="G80" s="69"/>
      <c r="H80" s="69"/>
      <c r="I80" s="69"/>
      <c r="J80" s="69"/>
      <c r="K80" s="69"/>
    </row>
    <row r="81" spans="1:11" ht="15.75" thickBot="1">
      <c r="A81" s="69"/>
      <c r="B81" s="32">
        <f t="shared" si="16"/>
        <v>1500</v>
      </c>
      <c r="C81" s="37">
        <f t="shared" si="15"/>
        <v>4.0835220110969335</v>
      </c>
      <c r="D81" s="69"/>
      <c r="E81" s="69"/>
      <c r="F81" s="69"/>
      <c r="G81" s="69"/>
      <c r="H81" s="69"/>
      <c r="I81" s="69"/>
      <c r="J81" s="69"/>
      <c r="K81" s="69"/>
    </row>
    <row r="82" spans="1:11" ht="15.75" thickBot="1">
      <c r="A82" s="35" t="s">
        <v>170</v>
      </c>
      <c r="B82" s="69"/>
      <c r="C82" s="69"/>
      <c r="D82" s="69"/>
      <c r="E82" s="69"/>
      <c r="F82" s="69"/>
      <c r="G82" s="69"/>
      <c r="H82" s="69"/>
      <c r="I82" s="69"/>
      <c r="J82" s="69"/>
      <c r="K82" s="69"/>
    </row>
    <row r="83" spans="1:11" ht="15.75" thickBot="1">
      <c r="A83" s="69"/>
      <c r="B83" s="35" t="s">
        <v>131</v>
      </c>
      <c r="C83" s="35" t="s">
        <v>132</v>
      </c>
      <c r="D83" s="35" t="s">
        <v>160</v>
      </c>
      <c r="E83" s="35" t="s">
        <v>166</v>
      </c>
      <c r="F83" s="35" t="s">
        <v>167</v>
      </c>
      <c r="G83" s="35" t="s">
        <v>168</v>
      </c>
      <c r="H83" s="35" t="s">
        <v>169</v>
      </c>
      <c r="I83" s="69"/>
      <c r="J83" s="69"/>
      <c r="K83" s="69"/>
    </row>
    <row r="84" spans="1:11" ht="15.75" thickBot="1">
      <c r="A84" s="69"/>
      <c r="B84" s="39">
        <f>WeaponData!G3</f>
        <v>10</v>
      </c>
      <c r="C84" s="39">
        <f>WeaponData!H3</f>
        <v>50</v>
      </c>
      <c r="D84" s="31">
        <f>WeaponData!F3</f>
        <v>1500</v>
      </c>
      <c r="E84" s="11">
        <f>WeaponData!R3</f>
        <v>5.4999999999999997E-3</v>
      </c>
      <c r="F84" s="31">
        <v>750</v>
      </c>
      <c r="G84" s="11">
        <f>WeaponData!S3</f>
        <v>7.0000000000000001E-3</v>
      </c>
      <c r="H84" s="31">
        <v>50</v>
      </c>
      <c r="I84" s="69"/>
      <c r="J84" s="69"/>
      <c r="K84" s="69"/>
    </row>
    <row r="85" spans="1:11" ht="15.75" thickBot="1">
      <c r="A85" s="69"/>
      <c r="B85" s="35" t="s">
        <v>163</v>
      </c>
      <c r="C85" s="35" t="s">
        <v>164</v>
      </c>
      <c r="D85" s="69"/>
      <c r="E85" s="69"/>
      <c r="F85" s="69"/>
      <c r="G85" s="69"/>
      <c r="H85" s="69"/>
      <c r="I85" s="69"/>
      <c r="J85" s="69"/>
      <c r="K85" s="69"/>
    </row>
    <row r="86" spans="1:11">
      <c r="A86" s="69"/>
      <c r="B86" s="31">
        <f>0</f>
        <v>0</v>
      </c>
      <c r="C86" s="37">
        <f>IF(B86&lt;$F$84,
   $B$84+($C$84-$B$84)*(1-(1/(1+EXP(-$E$84*(B86-$F$84))))),
   $B$84+($C$84-$B$84)*(1-(1/(1+EXP(-$G$84*(B86-$F$84)))))
)</f>
        <v>49.363744331527414</v>
      </c>
      <c r="D86" s="69"/>
      <c r="E86" s="69"/>
      <c r="F86" s="69"/>
      <c r="G86" s="69"/>
      <c r="H86" s="69"/>
      <c r="I86" s="69"/>
      <c r="J86" s="69"/>
      <c r="K86" s="69"/>
    </row>
    <row r="87" spans="1:11">
      <c r="A87" s="69"/>
      <c r="B87" s="32">
        <f>B86+$H$84</f>
        <v>50</v>
      </c>
      <c r="C87" s="37">
        <f t="shared" ref="C87:C116" si="17">IF(B87&lt;$F$84,
   $B$84+($C$84-$B$84)*(1-(1/(1+EXP(-$E$84*(B87-$F$84))))),
   $B$84+($C$84-$B$84)*(1-(1/(1+EXP(-$G$84*(B87-$F$84)))))
)</f>
        <v>49.16654621925278</v>
      </c>
      <c r="D87" s="69"/>
      <c r="E87" s="69"/>
      <c r="F87" s="69"/>
      <c r="G87" s="69"/>
      <c r="H87" s="69"/>
      <c r="I87" s="69"/>
      <c r="J87" s="69"/>
      <c r="K87" s="69"/>
    </row>
    <row r="88" spans="1:11">
      <c r="A88" s="69"/>
      <c r="B88" s="32">
        <f t="shared" ref="B88:B116" si="18">B87+$H$84</f>
        <v>100</v>
      </c>
      <c r="C88" s="37">
        <f t="shared" si="17"/>
        <v>48.909921969191359</v>
      </c>
      <c r="D88" s="69"/>
      <c r="E88" s="69"/>
      <c r="F88" s="69"/>
      <c r="G88" s="69"/>
      <c r="H88" s="69"/>
      <c r="I88" s="69"/>
      <c r="J88" s="69"/>
      <c r="K88" s="69"/>
    </row>
    <row r="89" spans="1:11">
      <c r="A89" s="69"/>
      <c r="B89" s="32">
        <f t="shared" si="18"/>
        <v>150</v>
      </c>
      <c r="C89" s="37">
        <f t="shared" si="17"/>
        <v>48.577152429094554</v>
      </c>
      <c r="D89" s="69"/>
      <c r="E89" s="69"/>
      <c r="F89" s="69"/>
      <c r="G89" s="69"/>
      <c r="H89" s="69"/>
      <c r="I89" s="69"/>
      <c r="J89" s="69"/>
      <c r="K89" s="69"/>
    </row>
    <row r="90" spans="1:11">
      <c r="A90" s="69"/>
      <c r="B90" s="32">
        <f t="shared" si="18"/>
        <v>200</v>
      </c>
      <c r="C90" s="37">
        <f t="shared" si="17"/>
        <v>48.147634006059981</v>
      </c>
      <c r="D90" s="69"/>
      <c r="E90" s="69"/>
      <c r="F90" s="69"/>
      <c r="G90" s="69"/>
      <c r="H90" s="69"/>
      <c r="I90" s="69"/>
      <c r="J90" s="69"/>
      <c r="K90" s="69"/>
    </row>
    <row r="91" spans="1:11">
      <c r="A91" s="69"/>
      <c r="B91" s="32">
        <f t="shared" si="18"/>
        <v>250</v>
      </c>
      <c r="C91" s="37">
        <f t="shared" si="17"/>
        <v>47.596533993039699</v>
      </c>
      <c r="D91" s="69"/>
      <c r="E91" s="69"/>
      <c r="F91" s="69"/>
      <c r="G91" s="69"/>
      <c r="H91" s="69"/>
      <c r="I91" s="69"/>
      <c r="J91" s="69"/>
      <c r="K91" s="69"/>
    </row>
    <row r="92" spans="1:11">
      <c r="A92" s="69"/>
      <c r="B92" s="32">
        <f t="shared" si="18"/>
        <v>300</v>
      </c>
      <c r="C92" s="37">
        <f t="shared" si="17"/>
        <v>46.894821497740466</v>
      </c>
      <c r="D92" s="69"/>
      <c r="E92" s="69"/>
      <c r="F92" s="69"/>
      <c r="G92" s="69"/>
      <c r="H92" s="69"/>
      <c r="I92" s="69"/>
      <c r="J92" s="69"/>
      <c r="K92" s="69"/>
    </row>
    <row r="93" spans="1:11">
      <c r="A93" s="69"/>
      <c r="B93" s="32">
        <f t="shared" si="18"/>
        <v>350</v>
      </c>
      <c r="C93" s="37">
        <f t="shared" si="17"/>
        <v>46.00998043521259</v>
      </c>
      <c r="D93" s="69"/>
      <c r="E93" s="69"/>
      <c r="F93" s="69"/>
      <c r="G93" s="69"/>
      <c r="H93" s="69"/>
      <c r="I93" s="69"/>
      <c r="J93" s="69"/>
      <c r="K93" s="69"/>
    </row>
    <row r="94" spans="1:11">
      <c r="A94" s="69"/>
      <c r="B94" s="32">
        <f t="shared" si="18"/>
        <v>400</v>
      </c>
      <c r="C94" s="37">
        <f t="shared" si="17"/>
        <v>44.907798476985128</v>
      </c>
      <c r="D94" s="69"/>
      <c r="E94" s="69"/>
      <c r="F94" s="69"/>
      <c r="G94" s="69"/>
      <c r="H94" s="69"/>
      <c r="I94" s="69"/>
      <c r="J94" s="69"/>
      <c r="K94" s="69"/>
    </row>
    <row r="95" spans="1:11">
      <c r="A95" s="69"/>
      <c r="B95" s="32">
        <f t="shared" si="18"/>
        <v>450</v>
      </c>
      <c r="C95" s="37">
        <f t="shared" si="17"/>
        <v>43.555642016936588</v>
      </c>
      <c r="D95" s="69"/>
      <c r="E95" s="69"/>
      <c r="F95" s="69"/>
      <c r="G95" s="69"/>
      <c r="H95" s="69"/>
      <c r="I95" s="69"/>
      <c r="J95" s="69"/>
      <c r="K95" s="69"/>
    </row>
    <row r="96" spans="1:11">
      <c r="A96" s="69"/>
      <c r="B96" s="32">
        <f t="shared" si="18"/>
        <v>500</v>
      </c>
      <c r="C96" s="37">
        <f t="shared" si="17"/>
        <v>41.92747110958485</v>
      </c>
      <c r="D96" s="69"/>
      <c r="E96" s="69"/>
      <c r="F96" s="69"/>
      <c r="G96" s="69"/>
      <c r="H96" s="69"/>
      <c r="I96" s="69"/>
      <c r="J96" s="69"/>
      <c r="K96" s="69"/>
    </row>
    <row r="97" spans="1:11">
      <c r="A97" s="69"/>
      <c r="B97" s="32">
        <f t="shared" si="18"/>
        <v>550</v>
      </c>
      <c r="C97" s="37">
        <f t="shared" si="17"/>
        <v>40.010404223804699</v>
      </c>
      <c r="D97" s="69"/>
      <c r="E97" s="69"/>
      <c r="F97" s="69"/>
      <c r="G97" s="69"/>
      <c r="H97" s="69"/>
      <c r="I97" s="69"/>
      <c r="J97" s="69"/>
      <c r="K97" s="69"/>
    </row>
    <row r="98" spans="1:11">
      <c r="A98" s="69"/>
      <c r="B98" s="32">
        <f t="shared" si="18"/>
        <v>600</v>
      </c>
      <c r="C98" s="37">
        <f t="shared" si="17"/>
        <v>37.811866773902615</v>
      </c>
      <c r="D98" s="69"/>
      <c r="E98" s="69"/>
      <c r="F98" s="69"/>
      <c r="G98" s="69"/>
      <c r="H98" s="69"/>
      <c r="I98" s="69"/>
      <c r="J98" s="69"/>
      <c r="K98" s="69"/>
    </row>
    <row r="99" spans="1:11">
      <c r="A99" s="69"/>
      <c r="B99" s="32">
        <f t="shared" si="18"/>
        <v>650</v>
      </c>
      <c r="C99" s="37">
        <f t="shared" si="17"/>
        <v>35.365423640432027</v>
      </c>
      <c r="D99" s="69"/>
      <c r="E99" s="69"/>
      <c r="F99" s="69"/>
      <c r="G99" s="69"/>
      <c r="H99" s="69"/>
      <c r="I99" s="69"/>
      <c r="J99" s="69"/>
      <c r="K99" s="69"/>
    </row>
    <row r="100" spans="1:11">
      <c r="A100" s="69"/>
      <c r="B100" s="32">
        <f t="shared" si="18"/>
        <v>700</v>
      </c>
      <c r="C100" s="37">
        <f t="shared" si="17"/>
        <v>32.732799339129926</v>
      </c>
      <c r="D100" s="69"/>
      <c r="E100" s="69"/>
      <c r="F100" s="69"/>
      <c r="G100" s="69"/>
      <c r="H100" s="69"/>
      <c r="I100" s="69"/>
      <c r="J100" s="69"/>
      <c r="K100" s="69"/>
    </row>
    <row r="101" spans="1:11">
      <c r="A101" s="69"/>
      <c r="B101" s="32">
        <f t="shared" si="18"/>
        <v>750</v>
      </c>
      <c r="C101" s="37">
        <f t="shared" si="17"/>
        <v>30</v>
      </c>
      <c r="D101" s="69"/>
      <c r="E101" s="69"/>
      <c r="F101" s="69"/>
      <c r="G101" s="69"/>
      <c r="H101" s="69"/>
      <c r="I101" s="69"/>
      <c r="J101" s="69"/>
      <c r="K101" s="69"/>
    </row>
    <row r="102" spans="1:11">
      <c r="A102" s="69"/>
      <c r="B102" s="32">
        <f t="shared" si="18"/>
        <v>800</v>
      </c>
      <c r="C102" s="37">
        <f t="shared" si="17"/>
        <v>26.535296843306796</v>
      </c>
      <c r="D102" s="69"/>
      <c r="E102" s="69"/>
      <c r="F102" s="69"/>
      <c r="G102" s="69"/>
      <c r="H102" s="69"/>
      <c r="I102" s="69"/>
      <c r="J102" s="69"/>
      <c r="K102" s="69"/>
    </row>
    <row r="103" spans="1:11">
      <c r="A103" s="69"/>
      <c r="B103" s="32">
        <f t="shared" si="18"/>
        <v>850</v>
      </c>
      <c r="C103" s="37">
        <f t="shared" si="17"/>
        <v>23.272489113273352</v>
      </c>
      <c r="D103" s="69"/>
      <c r="E103" s="69"/>
      <c r="F103" s="69"/>
      <c r="G103" s="69"/>
      <c r="H103" s="69"/>
      <c r="I103" s="69"/>
      <c r="J103" s="69"/>
      <c r="K103" s="69"/>
    </row>
    <row r="104" spans="1:11">
      <c r="A104" s="69"/>
      <c r="B104" s="32">
        <f t="shared" si="18"/>
        <v>900</v>
      </c>
      <c r="C104" s="37">
        <f t="shared" si="17"/>
        <v>20.369004032713839</v>
      </c>
      <c r="D104" s="69"/>
      <c r="E104" s="69"/>
      <c r="F104" s="69"/>
      <c r="G104" s="69"/>
      <c r="H104" s="69"/>
      <c r="I104" s="69"/>
      <c r="J104" s="69"/>
      <c r="K104" s="69"/>
    </row>
    <row r="105" spans="1:11">
      <c r="A105" s="69"/>
      <c r="B105" s="32">
        <f t="shared" si="18"/>
        <v>950</v>
      </c>
      <c r="C105" s="37">
        <f t="shared" si="17"/>
        <v>17.912644457656729</v>
      </c>
      <c r="D105" s="69"/>
      <c r="E105" s="69"/>
      <c r="F105" s="69"/>
      <c r="G105" s="69"/>
      <c r="H105" s="69"/>
      <c r="I105" s="69"/>
      <c r="J105" s="69"/>
      <c r="K105" s="69"/>
    </row>
    <row r="106" spans="1:11">
      <c r="A106" s="69"/>
      <c r="B106" s="32">
        <f t="shared" si="18"/>
        <v>1000</v>
      </c>
      <c r="C106" s="37">
        <f t="shared" si="17"/>
        <v>15.921887921267576</v>
      </c>
      <c r="D106" s="69"/>
      <c r="E106" s="69"/>
      <c r="F106" s="69"/>
      <c r="G106" s="69"/>
      <c r="H106" s="69"/>
      <c r="I106" s="69"/>
      <c r="J106" s="69"/>
      <c r="K106" s="69"/>
    </row>
    <row r="107" spans="1:11">
      <c r="A107" s="69"/>
      <c r="B107" s="32">
        <f t="shared" si="18"/>
        <v>1050</v>
      </c>
      <c r="C107" s="37">
        <f t="shared" si="17"/>
        <v>14.363872847824517</v>
      </c>
      <c r="D107" s="69"/>
      <c r="E107" s="69"/>
      <c r="F107" s="69"/>
      <c r="G107" s="69"/>
      <c r="H107" s="69"/>
      <c r="I107" s="69"/>
      <c r="J107" s="69"/>
      <c r="K107" s="69"/>
    </row>
    <row r="108" spans="1:11">
      <c r="A108" s="69"/>
      <c r="B108" s="32">
        <f t="shared" si="18"/>
        <v>1100</v>
      </c>
      <c r="C108" s="37">
        <f t="shared" si="17"/>
        <v>13.177541967359137</v>
      </c>
      <c r="D108" s="69"/>
      <c r="E108" s="69"/>
      <c r="F108" s="69"/>
      <c r="G108" s="69"/>
      <c r="H108" s="69"/>
      <c r="I108" s="69"/>
      <c r="J108" s="69"/>
      <c r="K108" s="69"/>
    </row>
    <row r="109" spans="1:11">
      <c r="A109" s="69"/>
      <c r="B109" s="32">
        <f t="shared" si="18"/>
        <v>1150</v>
      </c>
      <c r="C109" s="37">
        <f t="shared" si="17"/>
        <v>12.292967035954749</v>
      </c>
      <c r="D109" s="69"/>
      <c r="E109" s="69"/>
      <c r="F109" s="69"/>
      <c r="G109" s="69"/>
      <c r="H109" s="69"/>
      <c r="I109" s="69"/>
      <c r="J109" s="69"/>
      <c r="K109" s="69"/>
    </row>
    <row r="110" spans="1:11">
      <c r="A110" s="69"/>
      <c r="B110" s="32">
        <f t="shared" si="18"/>
        <v>1200</v>
      </c>
      <c r="C110" s="37">
        <f t="shared" si="17"/>
        <v>11.6436511280186</v>
      </c>
      <c r="D110" s="69"/>
      <c r="E110" s="69"/>
      <c r="F110" s="69"/>
      <c r="G110" s="69"/>
      <c r="H110" s="69"/>
      <c r="I110" s="69"/>
      <c r="J110" s="69"/>
      <c r="K110" s="69"/>
    </row>
    <row r="111" spans="1:11">
      <c r="A111" s="69"/>
      <c r="B111" s="32">
        <f t="shared" si="18"/>
        <v>1250</v>
      </c>
      <c r="C111" s="37">
        <f t="shared" si="17"/>
        <v>11.172489230054254</v>
      </c>
      <c r="D111" s="69"/>
      <c r="E111" s="69"/>
      <c r="F111" s="69"/>
      <c r="G111" s="69"/>
      <c r="H111" s="69"/>
      <c r="I111" s="69"/>
      <c r="J111" s="69"/>
      <c r="K111" s="69"/>
    </row>
    <row r="112" spans="1:11">
      <c r="A112" s="69"/>
      <c r="B112" s="32">
        <f t="shared" si="18"/>
        <v>1300</v>
      </c>
      <c r="C112" s="37">
        <f t="shared" si="17"/>
        <v>10.833453780747217</v>
      </c>
      <c r="D112" s="69"/>
      <c r="E112" s="69"/>
      <c r="F112" s="69"/>
      <c r="G112" s="69"/>
      <c r="H112" s="69"/>
      <c r="I112" s="69"/>
      <c r="J112" s="69"/>
      <c r="K112" s="69"/>
    </row>
    <row r="113" spans="1:11">
      <c r="A113" s="69"/>
      <c r="B113" s="32">
        <f t="shared" si="18"/>
        <v>1350</v>
      </c>
      <c r="C113" s="37">
        <f t="shared" si="17"/>
        <v>10.590961267730922</v>
      </c>
      <c r="D113" s="69"/>
      <c r="E113" s="69"/>
      <c r="F113" s="69"/>
      <c r="G113" s="69"/>
      <c r="H113" s="69"/>
      <c r="I113" s="69"/>
      <c r="J113" s="69"/>
      <c r="K113" s="69"/>
    </row>
    <row r="114" spans="1:11">
      <c r="A114" s="69"/>
      <c r="B114" s="32">
        <f t="shared" si="18"/>
        <v>1400</v>
      </c>
      <c r="C114" s="37">
        <f t="shared" si="17"/>
        <v>10.418268249276728</v>
      </c>
      <c r="D114" s="69"/>
      <c r="E114" s="69"/>
      <c r="F114" s="69"/>
      <c r="G114" s="69"/>
      <c r="H114" s="69"/>
      <c r="I114" s="69"/>
      <c r="J114" s="69"/>
      <c r="K114" s="69"/>
    </row>
    <row r="115" spans="1:11">
      <c r="A115" s="69"/>
      <c r="B115" s="32">
        <f t="shared" si="18"/>
        <v>1450</v>
      </c>
      <c r="C115" s="37">
        <f t="shared" si="17"/>
        <v>10.295661653771276</v>
      </c>
      <c r="D115" s="69"/>
      <c r="E115" s="69"/>
      <c r="F115" s="69"/>
      <c r="G115" s="69"/>
      <c r="H115" s="69"/>
      <c r="I115" s="69"/>
      <c r="J115" s="69"/>
      <c r="K115" s="69"/>
    </row>
    <row r="116" spans="1:11" ht="15.75" thickBot="1">
      <c r="A116" s="69"/>
      <c r="B116" s="32">
        <f t="shared" si="18"/>
        <v>1500</v>
      </c>
      <c r="C116" s="37">
        <f t="shared" si="17"/>
        <v>10.208805027742333</v>
      </c>
      <c r="D116" s="69"/>
      <c r="E116" s="69"/>
      <c r="F116" s="69"/>
      <c r="G116" s="69"/>
      <c r="H116" s="69"/>
      <c r="I116" s="69"/>
      <c r="J116" s="69"/>
      <c r="K116" s="69"/>
    </row>
    <row r="117" spans="1:11" ht="15.75" thickBot="1">
      <c r="A117" s="35" t="s">
        <v>171</v>
      </c>
      <c r="B117" s="70"/>
      <c r="C117" s="70"/>
      <c r="D117" s="70"/>
      <c r="E117" s="70"/>
      <c r="F117" s="70"/>
      <c r="G117" s="70"/>
      <c r="H117" s="70"/>
      <c r="I117" s="70"/>
      <c r="J117" s="70"/>
    </row>
    <row r="118" spans="1:11" ht="15.75" thickBot="1">
      <c r="A118" s="36" t="s">
        <v>138</v>
      </c>
      <c r="B118" s="35" t="s">
        <v>172</v>
      </c>
      <c r="C118" s="35" t="s">
        <v>173</v>
      </c>
      <c r="D118" s="35" t="s">
        <v>174</v>
      </c>
      <c r="E118" s="35" t="s">
        <v>175</v>
      </c>
      <c r="F118" s="49" t="s">
        <v>176</v>
      </c>
      <c r="G118" s="35" t="s">
        <v>177</v>
      </c>
      <c r="H118" s="35" t="s">
        <v>178</v>
      </c>
      <c r="I118" s="35" t="s">
        <v>179</v>
      </c>
      <c r="J118" s="70"/>
    </row>
    <row r="119" spans="1:11" ht="15.75" thickBot="1">
      <c r="A119" s="70"/>
      <c r="B119" s="39">
        <f>MIN(MAX((($I$119 - $E$119) / ($F$119 - $E$119)) * ($H$119 - $G$119) + $G$119, $G$119), $H$119)</f>
        <v>0</v>
      </c>
      <c r="C119" s="39">
        <v>50</v>
      </c>
      <c r="D119" s="39">
        <v>180</v>
      </c>
      <c r="E119" s="72">
        <f>WeaponData!N2</f>
        <v>0</v>
      </c>
      <c r="F119" s="72">
        <v>200</v>
      </c>
      <c r="G119" s="31">
        <f>WeaponData!P2</f>
        <v>0</v>
      </c>
      <c r="H119" s="31">
        <f>WeaponData!Q2</f>
        <v>0</v>
      </c>
      <c r="I119" s="11">
        <v>750</v>
      </c>
      <c r="J119" s="70"/>
    </row>
    <row r="120" spans="1:11" ht="15.75" thickBot="1">
      <c r="A120" s="70"/>
      <c r="B120" s="35" t="s">
        <v>180</v>
      </c>
      <c r="C120" s="35" t="s">
        <v>181</v>
      </c>
      <c r="D120" s="35" t="s">
        <v>182</v>
      </c>
      <c r="E120" s="35" t="s">
        <v>183</v>
      </c>
      <c r="F120" s="35" t="s">
        <v>184</v>
      </c>
      <c r="G120" s="70"/>
      <c r="H120" s="70"/>
      <c r="I120" s="70"/>
      <c r="J120" s="70"/>
    </row>
    <row r="121" spans="1:11">
      <c r="A121" s="70"/>
      <c r="B121" s="31" t="str">
        <f ca="1">IF(RAND() &lt; $B$119, "Si", "No")</f>
        <v>No</v>
      </c>
      <c r="C121" s="31">
        <f ca="1">IF(B121="Si",RANDBETWEEN(-100,100)+SIGN(RANDBETWEEN(-1,1))*$C$119,RANDBETWEEN(-$C$119/2, $C$119/2))</f>
        <v>-8</v>
      </c>
      <c r="D121" s="31">
        <f ca="1">IF(B121="Si",IF(RAND()&lt;0.5,RANDBETWEEN(0,119),RANDBETWEEN(181,230)),RANDBETWEEN(120,160))</f>
        <v>134</v>
      </c>
      <c r="E121" s="31" t="str">
        <f ca="1">IF(AND(B121="No", ABS(C121) &lt;= ($C$119/2), D121&lt;=$D$119), "Si", "No")</f>
        <v>Si</v>
      </c>
      <c r="F121" s="38">
        <f ca="1">IF(E121="No","No hay hit",_xlfn.XLOOKUP($I$119,$B$51:$B$81,$C$51:$C$81))</f>
        <v>12</v>
      </c>
      <c r="G121" s="70"/>
      <c r="H121" s="70"/>
      <c r="I121" s="70"/>
      <c r="J121" s="70"/>
    </row>
    <row r="122" spans="1:11">
      <c r="A122" s="70"/>
      <c r="B122" s="32" t="str">
        <f t="shared" ref="B122:B130" ca="1" si="19">IF(RAND() &lt; $B$119, "Si", "No")</f>
        <v>No</v>
      </c>
      <c r="C122" s="32">
        <f t="shared" ref="C122:C130" ca="1" si="20">IF(B122="Si",RANDBETWEEN(-100,100)+SIGN(RANDBETWEEN(-1,1))*$C$119,RANDBETWEEN(-$C$119/2, $C$119/2))</f>
        <v>1</v>
      </c>
      <c r="D122" s="31">
        <f t="shared" ref="D122:D130" ca="1" si="21">IF(B122="Si",IF(RAND()&lt;0.5,RANDBETWEEN(0,119),RANDBETWEEN(181,230)),RANDBETWEEN(120,160))</f>
        <v>123</v>
      </c>
      <c r="E122" s="32" t="str">
        <f ca="1">IF(AND(B122="No", ABS(C122) &lt;= ($C$119/2), D122&lt;=$D$119), "Si", "No")</f>
        <v>Si</v>
      </c>
      <c r="F122" s="38">
        <f ca="1">IF(E122="No","No hay hit",_xlfn.XLOOKUP($I$119,$B$51:$B$81,$C$51:$C$81))</f>
        <v>12</v>
      </c>
      <c r="G122" s="70"/>
      <c r="H122" s="70"/>
      <c r="I122" s="70"/>
      <c r="J122" s="70"/>
    </row>
    <row r="123" spans="1:11">
      <c r="A123" s="70"/>
      <c r="B123" s="32" t="str">
        <f t="shared" ca="1" si="19"/>
        <v>No</v>
      </c>
      <c r="C123" s="32">
        <f t="shared" ca="1" si="20"/>
        <v>-21</v>
      </c>
      <c r="D123" s="31">
        <f t="shared" ca="1" si="21"/>
        <v>150</v>
      </c>
      <c r="E123" s="32" t="str">
        <f t="shared" ref="E123:E130" ca="1" si="22">IF(AND(B123="No", ABS(C123) &lt;= ($C$119/2), D123&lt;=$D$119), "Si", "No")</f>
        <v>Si</v>
      </c>
      <c r="F123" s="38">
        <f t="shared" ref="F123:F130" ca="1" si="23">IF(E123="No","No hay hit",_xlfn.XLOOKUP($I$119,$B$86:$B$116,$C$86:$C$116))</f>
        <v>30</v>
      </c>
      <c r="G123" s="70"/>
      <c r="H123" s="70"/>
      <c r="I123" s="70"/>
      <c r="J123" s="70"/>
    </row>
    <row r="124" spans="1:11">
      <c r="A124" s="70"/>
      <c r="B124" s="32" t="str">
        <f t="shared" ca="1" si="19"/>
        <v>No</v>
      </c>
      <c r="C124" s="32">
        <f t="shared" ca="1" si="20"/>
        <v>6</v>
      </c>
      <c r="D124" s="31">
        <f t="shared" ca="1" si="21"/>
        <v>122</v>
      </c>
      <c r="E124" s="32" t="str">
        <f t="shared" ca="1" si="22"/>
        <v>Si</v>
      </c>
      <c r="F124" s="38">
        <f t="shared" ca="1" si="23"/>
        <v>30</v>
      </c>
      <c r="G124" s="70"/>
      <c r="H124" s="70"/>
      <c r="I124" s="70"/>
      <c r="J124" s="70"/>
    </row>
    <row r="125" spans="1:11">
      <c r="A125" s="70"/>
      <c r="B125" s="32" t="str">
        <f t="shared" ca="1" si="19"/>
        <v>No</v>
      </c>
      <c r="C125" s="32">
        <f t="shared" ca="1" si="20"/>
        <v>1</v>
      </c>
      <c r="D125" s="31">
        <f t="shared" ca="1" si="21"/>
        <v>123</v>
      </c>
      <c r="E125" s="32" t="str">
        <f t="shared" ca="1" si="22"/>
        <v>Si</v>
      </c>
      <c r="F125" s="38">
        <f t="shared" ca="1" si="23"/>
        <v>30</v>
      </c>
      <c r="G125" s="70"/>
      <c r="H125" s="70"/>
      <c r="I125" s="70"/>
      <c r="J125" s="70"/>
    </row>
    <row r="126" spans="1:11">
      <c r="A126" s="70"/>
      <c r="B126" s="32" t="str">
        <f t="shared" ca="1" si="19"/>
        <v>No</v>
      </c>
      <c r="C126" s="32">
        <f t="shared" ca="1" si="20"/>
        <v>15</v>
      </c>
      <c r="D126" s="31">
        <f t="shared" ca="1" si="21"/>
        <v>127</v>
      </c>
      <c r="E126" s="32" t="str">
        <f t="shared" ca="1" si="22"/>
        <v>Si</v>
      </c>
      <c r="F126" s="38">
        <f t="shared" ca="1" si="23"/>
        <v>30</v>
      </c>
      <c r="G126" s="70"/>
      <c r="H126" s="70"/>
      <c r="I126" s="70"/>
      <c r="J126" s="70"/>
    </row>
    <row r="127" spans="1:11">
      <c r="A127" s="70"/>
      <c r="B127" s="32" t="str">
        <f t="shared" ca="1" si="19"/>
        <v>No</v>
      </c>
      <c r="C127" s="32">
        <f t="shared" ca="1" si="20"/>
        <v>-3</v>
      </c>
      <c r="D127" s="31">
        <f t="shared" ca="1" si="21"/>
        <v>137</v>
      </c>
      <c r="E127" s="32" t="str">
        <f t="shared" ca="1" si="22"/>
        <v>Si</v>
      </c>
      <c r="F127" s="38">
        <f t="shared" ca="1" si="23"/>
        <v>30</v>
      </c>
      <c r="G127" s="70"/>
      <c r="H127" s="70"/>
      <c r="I127" s="70"/>
      <c r="J127" s="70"/>
    </row>
    <row r="128" spans="1:11">
      <c r="A128" s="70"/>
      <c r="B128" s="32" t="str">
        <f t="shared" ca="1" si="19"/>
        <v>No</v>
      </c>
      <c r="C128" s="32">
        <f t="shared" ca="1" si="20"/>
        <v>16</v>
      </c>
      <c r="D128" s="31">
        <f t="shared" ca="1" si="21"/>
        <v>144</v>
      </c>
      <c r="E128" s="32" t="str">
        <f t="shared" ca="1" si="22"/>
        <v>Si</v>
      </c>
      <c r="F128" s="38">
        <f t="shared" ca="1" si="23"/>
        <v>30</v>
      </c>
      <c r="G128" s="70"/>
      <c r="H128" s="70"/>
      <c r="I128" s="70"/>
      <c r="J128" s="70"/>
    </row>
    <row r="129" spans="1:15">
      <c r="A129" s="70"/>
      <c r="B129" s="32" t="str">
        <f t="shared" ca="1" si="19"/>
        <v>No</v>
      </c>
      <c r="C129" s="32">
        <f t="shared" ca="1" si="20"/>
        <v>-5</v>
      </c>
      <c r="D129" s="31">
        <f t="shared" ca="1" si="21"/>
        <v>138</v>
      </c>
      <c r="E129" s="32" t="str">
        <f t="shared" ca="1" si="22"/>
        <v>Si</v>
      </c>
      <c r="F129" s="38">
        <f t="shared" ca="1" si="23"/>
        <v>30</v>
      </c>
      <c r="G129" s="70"/>
      <c r="H129" s="70"/>
      <c r="I129" s="70"/>
      <c r="J129" s="70"/>
    </row>
    <row r="130" spans="1:15" ht="15.75" thickBot="1">
      <c r="A130" s="70"/>
      <c r="B130" s="32" t="str">
        <f t="shared" ca="1" si="19"/>
        <v>No</v>
      </c>
      <c r="C130" s="32">
        <f t="shared" ca="1" si="20"/>
        <v>3</v>
      </c>
      <c r="D130" s="31">
        <f t="shared" ca="1" si="21"/>
        <v>142</v>
      </c>
      <c r="E130" s="50" t="str">
        <f t="shared" ca="1" si="22"/>
        <v>Si</v>
      </c>
      <c r="F130" s="38">
        <f t="shared" ca="1" si="23"/>
        <v>30</v>
      </c>
      <c r="G130" s="70"/>
      <c r="H130" s="70"/>
      <c r="I130" s="70"/>
      <c r="J130" s="70"/>
    </row>
    <row r="131" spans="1:15" ht="15.75" thickBot="1">
      <c r="A131" s="70"/>
      <c r="B131" s="70"/>
      <c r="C131" s="70"/>
      <c r="D131" s="70"/>
      <c r="E131" s="35" t="s">
        <v>185</v>
      </c>
      <c r="F131" s="51">
        <f ca="1">SUMIF(E121:E130, "Si",F121:F130)</f>
        <v>264</v>
      </c>
      <c r="G131" s="70"/>
      <c r="H131" s="70"/>
      <c r="I131" s="70"/>
      <c r="J131" s="70"/>
    </row>
    <row r="132" spans="1:15" ht="15.75" thickBot="1">
      <c r="A132" s="70"/>
      <c r="B132" s="70"/>
      <c r="C132" s="70"/>
      <c r="D132" s="70"/>
      <c r="E132" s="70"/>
      <c r="F132" s="70"/>
      <c r="G132" s="70"/>
      <c r="H132" s="70"/>
      <c r="I132" s="70"/>
      <c r="J132" s="70"/>
    </row>
    <row r="133" spans="1:15">
      <c r="A133" s="70"/>
      <c r="B133" s="70"/>
      <c r="C133" s="70"/>
      <c r="D133" s="70"/>
      <c r="E133" s="70"/>
      <c r="F133" s="70"/>
      <c r="G133" s="70"/>
      <c r="H133" s="70"/>
      <c r="I133" s="70"/>
      <c r="J133" s="70"/>
      <c r="L133" s="110" t="s">
        <v>186</v>
      </c>
      <c r="M133" s="111"/>
      <c r="N133" s="111"/>
      <c r="O133" s="112"/>
    </row>
    <row r="134" spans="1:15" ht="15.75" thickBot="1">
      <c r="A134" s="70"/>
      <c r="B134" s="70"/>
      <c r="C134" s="70"/>
      <c r="D134" s="70"/>
      <c r="E134" s="70"/>
      <c r="F134" s="70"/>
      <c r="G134" s="70"/>
      <c r="H134" s="70"/>
      <c r="I134" s="70"/>
      <c r="J134" s="70"/>
      <c r="L134" s="113"/>
      <c r="M134" s="114"/>
      <c r="N134" s="114"/>
      <c r="O134" s="115"/>
    </row>
    <row r="135" spans="1:15" ht="15.75" thickBot="1">
      <c r="A135" s="35" t="s">
        <v>187</v>
      </c>
      <c r="B135" s="70"/>
      <c r="C135" s="70"/>
      <c r="D135" s="70"/>
      <c r="E135" s="70"/>
      <c r="F135" s="70"/>
      <c r="G135" s="70"/>
      <c r="H135" s="70"/>
      <c r="I135" s="70"/>
      <c r="J135" s="70"/>
      <c r="L135" s="113"/>
      <c r="M135" s="114"/>
      <c r="N135" s="114"/>
      <c r="O135" s="115"/>
    </row>
    <row r="136" spans="1:15" ht="15.75" thickBot="1">
      <c r="A136" s="36" t="s">
        <v>188</v>
      </c>
      <c r="B136" s="35" t="s">
        <v>172</v>
      </c>
      <c r="C136" s="35" t="s">
        <v>173</v>
      </c>
      <c r="D136" s="35" t="s">
        <v>174</v>
      </c>
      <c r="E136" s="35" t="s">
        <v>175</v>
      </c>
      <c r="F136" s="35" t="s">
        <v>176</v>
      </c>
      <c r="G136" s="35" t="s">
        <v>177</v>
      </c>
      <c r="H136" s="35" t="s">
        <v>178</v>
      </c>
      <c r="I136" s="35" t="s">
        <v>179</v>
      </c>
      <c r="J136" s="70"/>
      <c r="L136" s="113"/>
      <c r="M136" s="114"/>
      <c r="N136" s="114"/>
      <c r="O136" s="115"/>
    </row>
    <row r="137" spans="1:15" ht="15.75" thickBot="1">
      <c r="A137" s="70"/>
      <c r="B137" s="39">
        <f>MIN(MAX((($I$137 - $E$137) / ($F$137 - $E$137)) * ($H$137 - $G$137) + $G$137, $G$137), $H$137)</f>
        <v>0</v>
      </c>
      <c r="C137" s="39">
        <v>50</v>
      </c>
      <c r="D137" s="39">
        <v>180</v>
      </c>
      <c r="E137" s="39">
        <f>WeaponData!N3</f>
        <v>0</v>
      </c>
      <c r="F137" s="39">
        <f>WeaponData!O3</f>
        <v>1500</v>
      </c>
      <c r="G137" s="31">
        <f>WeaponData!P3</f>
        <v>0</v>
      </c>
      <c r="H137" s="31">
        <f>WeaponData!Q3</f>
        <v>0</v>
      </c>
      <c r="I137" s="11">
        <v>750</v>
      </c>
      <c r="J137" s="70"/>
      <c r="L137" s="116"/>
      <c r="M137" s="117"/>
      <c r="N137" s="117"/>
      <c r="O137" s="118"/>
    </row>
    <row r="138" spans="1:15" ht="15.75" thickBot="1">
      <c r="A138" s="70"/>
      <c r="B138" s="35" t="s">
        <v>180</v>
      </c>
      <c r="C138" s="35" t="s">
        <v>181</v>
      </c>
      <c r="D138" s="35" t="s">
        <v>182</v>
      </c>
      <c r="E138" s="35" t="s">
        <v>183</v>
      </c>
      <c r="F138" s="35" t="s">
        <v>184</v>
      </c>
      <c r="G138" s="70"/>
      <c r="H138" s="70"/>
      <c r="I138" s="70"/>
      <c r="J138" s="70"/>
    </row>
    <row r="139" spans="1:15">
      <c r="A139" s="70"/>
      <c r="B139" s="31" t="str">
        <f ca="1">IF(RAND()&lt;$B$137,"Si","No")</f>
        <v>No</v>
      </c>
      <c r="C139" s="31">
        <f ca="1">IF(B139="Si",RANDBETWEEN(-100,100)+SIGN(RANDBETWEEN(-1,1))*$C$137,RANDBETWEEN(-$C$137/2, $C$137/2))</f>
        <v>-12</v>
      </c>
      <c r="D139" s="31">
        <f ca="1">IF(B139="Si",IF(RAND()&lt;0.5,RANDBETWEEN(0,119),RANDBETWEEN(181,230)),RANDBETWEEN(120,160))</f>
        <v>141</v>
      </c>
      <c r="E139" s="31" t="str">
        <f ca="1">IF(AND(B139="No", ABS(C139) &lt;= ($C$137/2), D139&lt;=$D$137), "Si", "No")</f>
        <v>Si</v>
      </c>
      <c r="F139" s="31">
        <f ca="1">IF(E139="No","No hay hit",_xlfn.XLOOKUP($I$137,$B$86:$B$116,$C$86:$C$116))</f>
        <v>30</v>
      </c>
      <c r="G139" s="70"/>
      <c r="H139" s="70"/>
      <c r="I139" s="70"/>
      <c r="J139" s="70"/>
    </row>
    <row r="140" spans="1:15">
      <c r="A140" s="70"/>
      <c r="B140" s="32" t="str">
        <f t="shared" ref="B140:B148" ca="1" si="24">IF(RAND()&lt;$B$137,"Si","No")</f>
        <v>No</v>
      </c>
      <c r="C140" s="32">
        <f t="shared" ref="C140:C148" ca="1" si="25">IF(B140="Si",RANDBETWEEN(-100,100)+SIGN(RANDBETWEEN(-1,1))*$C$137,RANDBETWEEN(-$C$137/2, $C$137/2))</f>
        <v>-18</v>
      </c>
      <c r="D140" s="32">
        <f t="shared" ref="D140:D148" ca="1" si="26">IF(B140="Si",IF(RAND()&lt;0.5,RANDBETWEEN(0,119),RANDBETWEEN(181,230)),RANDBETWEEN(120,160))</f>
        <v>132</v>
      </c>
      <c r="E140" s="32" t="str">
        <f t="shared" ref="E140:E148" ca="1" si="27">IF(AND(B140="No", ABS(C140) &lt;= ($C$137/2), D140&lt;=$D$137), "Si", "No")</f>
        <v>Si</v>
      </c>
      <c r="F140" s="32">
        <f t="shared" ref="F140:F148" ca="1" si="28">IF(E140="No","No hay hit",_xlfn.XLOOKUP($I$137,$B$86:$B$116,$C$86:$C$116))</f>
        <v>30</v>
      </c>
      <c r="G140" s="70"/>
      <c r="H140" s="70"/>
      <c r="I140" s="70"/>
      <c r="J140" s="70"/>
    </row>
    <row r="141" spans="1:15">
      <c r="A141" s="70"/>
      <c r="B141" s="32" t="str">
        <f t="shared" ca="1" si="24"/>
        <v>No</v>
      </c>
      <c r="C141" s="32">
        <f t="shared" ca="1" si="25"/>
        <v>-6</v>
      </c>
      <c r="D141" s="32">
        <f t="shared" ca="1" si="26"/>
        <v>137</v>
      </c>
      <c r="E141" s="32" t="str">
        <f t="shared" ca="1" si="27"/>
        <v>Si</v>
      </c>
      <c r="F141" s="32">
        <f t="shared" ca="1" si="28"/>
        <v>30</v>
      </c>
      <c r="G141" s="70"/>
      <c r="H141" s="70"/>
      <c r="I141" s="70"/>
      <c r="J141" s="70"/>
    </row>
    <row r="142" spans="1:15">
      <c r="A142" s="70"/>
      <c r="B142" s="32" t="str">
        <f t="shared" ca="1" si="24"/>
        <v>No</v>
      </c>
      <c r="C142" s="32">
        <f t="shared" ca="1" si="25"/>
        <v>25</v>
      </c>
      <c r="D142" s="32">
        <f t="shared" ca="1" si="26"/>
        <v>126</v>
      </c>
      <c r="E142" s="32" t="str">
        <f t="shared" ca="1" si="27"/>
        <v>Si</v>
      </c>
      <c r="F142" s="32">
        <f t="shared" ca="1" si="28"/>
        <v>30</v>
      </c>
      <c r="G142" s="70"/>
      <c r="H142" s="70"/>
      <c r="I142" s="70"/>
      <c r="J142" s="70"/>
    </row>
    <row r="143" spans="1:15">
      <c r="A143" s="70"/>
      <c r="B143" s="32" t="str">
        <f t="shared" ca="1" si="24"/>
        <v>No</v>
      </c>
      <c r="C143" s="32">
        <f t="shared" ca="1" si="25"/>
        <v>0</v>
      </c>
      <c r="D143" s="32">
        <f t="shared" ca="1" si="26"/>
        <v>122</v>
      </c>
      <c r="E143" s="32" t="str">
        <f t="shared" ca="1" si="27"/>
        <v>Si</v>
      </c>
      <c r="F143" s="32">
        <f t="shared" ca="1" si="28"/>
        <v>30</v>
      </c>
      <c r="G143" s="70"/>
      <c r="H143" s="70"/>
      <c r="I143" s="70"/>
      <c r="J143" s="70"/>
    </row>
    <row r="144" spans="1:15">
      <c r="A144" s="70"/>
      <c r="B144" s="32" t="str">
        <f t="shared" ca="1" si="24"/>
        <v>No</v>
      </c>
      <c r="C144" s="32">
        <f t="shared" ca="1" si="25"/>
        <v>-13</v>
      </c>
      <c r="D144" s="32">
        <f t="shared" ca="1" si="26"/>
        <v>151</v>
      </c>
      <c r="E144" s="32" t="str">
        <f t="shared" ca="1" si="27"/>
        <v>Si</v>
      </c>
      <c r="F144" s="32">
        <f t="shared" ca="1" si="28"/>
        <v>30</v>
      </c>
      <c r="G144" s="70"/>
      <c r="H144" s="70"/>
      <c r="I144" s="70"/>
      <c r="J144" s="70"/>
    </row>
    <row r="145" spans="1:10">
      <c r="A145" s="70"/>
      <c r="B145" s="32" t="str">
        <f t="shared" ca="1" si="24"/>
        <v>No</v>
      </c>
      <c r="C145" s="32">
        <f t="shared" ca="1" si="25"/>
        <v>-6</v>
      </c>
      <c r="D145" s="32">
        <f t="shared" ca="1" si="26"/>
        <v>157</v>
      </c>
      <c r="E145" s="32" t="str">
        <f t="shared" ca="1" si="27"/>
        <v>Si</v>
      </c>
      <c r="F145" s="32">
        <f t="shared" ca="1" si="28"/>
        <v>30</v>
      </c>
      <c r="G145" s="70"/>
      <c r="H145" s="70"/>
      <c r="I145" s="70"/>
      <c r="J145" s="70"/>
    </row>
    <row r="146" spans="1:10">
      <c r="A146" s="70"/>
      <c r="B146" s="32" t="str">
        <f t="shared" ca="1" si="24"/>
        <v>No</v>
      </c>
      <c r="C146" s="32">
        <f t="shared" ca="1" si="25"/>
        <v>-15</v>
      </c>
      <c r="D146" s="32">
        <f t="shared" ca="1" si="26"/>
        <v>128</v>
      </c>
      <c r="E146" s="32" t="str">
        <f t="shared" ca="1" si="27"/>
        <v>Si</v>
      </c>
      <c r="F146" s="32">
        <f t="shared" ca="1" si="28"/>
        <v>30</v>
      </c>
      <c r="G146" s="70"/>
      <c r="H146" s="70"/>
      <c r="I146" s="70"/>
      <c r="J146" s="70"/>
    </row>
    <row r="147" spans="1:10">
      <c r="A147" s="70"/>
      <c r="B147" s="32" t="str">
        <f t="shared" ca="1" si="24"/>
        <v>No</v>
      </c>
      <c r="C147" s="32">
        <f t="shared" ca="1" si="25"/>
        <v>17</v>
      </c>
      <c r="D147" s="32">
        <f t="shared" ca="1" si="26"/>
        <v>141</v>
      </c>
      <c r="E147" s="32" t="str">
        <f t="shared" ca="1" si="27"/>
        <v>Si</v>
      </c>
      <c r="F147" s="32">
        <f t="shared" ca="1" si="28"/>
        <v>30</v>
      </c>
      <c r="G147" s="70"/>
      <c r="H147" s="70"/>
      <c r="I147" s="70"/>
      <c r="J147" s="70"/>
    </row>
    <row r="148" spans="1:10" ht="15.75" thickBot="1">
      <c r="A148" s="70"/>
      <c r="B148" s="32" t="str">
        <f t="shared" ca="1" si="24"/>
        <v>No</v>
      </c>
      <c r="C148" s="32">
        <f t="shared" ca="1" si="25"/>
        <v>24</v>
      </c>
      <c r="D148" s="32">
        <f t="shared" ca="1" si="26"/>
        <v>144</v>
      </c>
      <c r="E148" s="50" t="str">
        <f t="shared" ca="1" si="27"/>
        <v>Si</v>
      </c>
      <c r="F148" s="50">
        <f t="shared" ca="1" si="28"/>
        <v>30</v>
      </c>
      <c r="G148" s="70"/>
      <c r="H148" s="70"/>
      <c r="I148" s="70"/>
      <c r="J148" s="70"/>
    </row>
    <row r="149" spans="1:10" ht="15.75" thickBot="1">
      <c r="A149" s="70"/>
      <c r="B149" s="70"/>
      <c r="C149" s="70"/>
      <c r="D149" s="70"/>
      <c r="E149" s="35" t="s">
        <v>185</v>
      </c>
      <c r="F149" s="36">
        <f ca="1">SUMIF(E139:E148, "Si",F139:F148)</f>
        <v>300</v>
      </c>
      <c r="G149" s="70"/>
      <c r="H149" s="70"/>
      <c r="I149" s="70"/>
      <c r="J149" s="70"/>
    </row>
    <row r="150" spans="1:10">
      <c r="A150" s="70"/>
      <c r="B150" s="70"/>
      <c r="C150" s="70"/>
      <c r="D150" s="70"/>
      <c r="E150" s="71"/>
      <c r="F150" s="70"/>
      <c r="G150" s="70"/>
      <c r="H150" s="70"/>
      <c r="I150" s="70"/>
      <c r="J150" s="70"/>
    </row>
    <row r="151" spans="1:10">
      <c r="A151" s="70"/>
      <c r="B151" s="70"/>
      <c r="C151" s="70"/>
      <c r="D151" s="70"/>
      <c r="E151" s="70"/>
      <c r="F151" s="70"/>
      <c r="G151" s="70"/>
      <c r="H151" s="70"/>
      <c r="I151" s="70"/>
      <c r="J151" s="70"/>
    </row>
    <row r="152" spans="1:10">
      <c r="A152" s="70"/>
      <c r="B152" s="70"/>
      <c r="C152" s="70"/>
      <c r="D152" s="70"/>
      <c r="E152" s="70"/>
      <c r="F152" s="70"/>
      <c r="G152" s="70"/>
      <c r="H152" s="70"/>
      <c r="I152" s="70"/>
      <c r="J152" s="70"/>
    </row>
  </sheetData>
  <mergeCells count="2">
    <mergeCell ref="L133:O137"/>
    <mergeCell ref="U24:X2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B89C2-AEBE-455D-BF52-A8DFD4495C36}">
  <dimension ref="B1:V39"/>
  <sheetViews>
    <sheetView topLeftCell="K10" zoomScale="85" zoomScaleNormal="85" workbookViewId="0">
      <selection activeCell="K10" sqref="K10"/>
    </sheetView>
  </sheetViews>
  <sheetFormatPr defaultColWidth="9.140625" defaultRowHeight="15"/>
  <cols>
    <col min="2" max="2" width="39.140625" customWidth="1"/>
    <col min="3" max="3" width="16.7109375" customWidth="1"/>
    <col min="4" max="4" width="17" customWidth="1"/>
    <col min="5" max="5" width="19.42578125" customWidth="1"/>
    <col min="6" max="6" width="29.5703125" customWidth="1"/>
    <col min="7" max="7" width="22.140625" customWidth="1"/>
    <col min="8" max="8" width="27.140625" customWidth="1"/>
    <col min="10" max="10" width="15.5703125" customWidth="1"/>
    <col min="11" max="11" width="17.28515625" customWidth="1"/>
    <col min="12" max="12" width="25" customWidth="1"/>
    <col min="13" max="13" width="31.140625" customWidth="1"/>
    <col min="14" max="14" width="19" customWidth="1"/>
    <col min="15" max="15" width="28.140625" customWidth="1"/>
    <col min="17" max="17" width="15.28515625" customWidth="1"/>
    <col min="18" max="18" width="14.7109375" customWidth="1"/>
    <col min="19" max="19" width="18.5703125" bestFit="1" customWidth="1"/>
    <col min="20" max="20" width="29.85546875" bestFit="1" customWidth="1"/>
    <col min="21" max="21" width="17.7109375" bestFit="1" customWidth="1"/>
    <col min="22" max="22" width="28.42578125" bestFit="1" customWidth="1"/>
  </cols>
  <sheetData>
    <row r="1" spans="2:22" ht="15.75" thickBot="1">
      <c r="B1" s="35" t="s">
        <v>189</v>
      </c>
      <c r="C1" s="35" t="s">
        <v>190</v>
      </c>
      <c r="D1" s="35" t="s">
        <v>191</v>
      </c>
      <c r="E1" s="35" t="s">
        <v>192</v>
      </c>
      <c r="F1" s="35" t="s">
        <v>193</v>
      </c>
      <c r="G1" s="35" t="s">
        <v>194</v>
      </c>
      <c r="H1" s="35" t="s">
        <v>195</v>
      </c>
      <c r="J1" s="55"/>
      <c r="K1" s="55"/>
      <c r="L1" s="55"/>
      <c r="M1" s="55"/>
      <c r="N1" s="55"/>
      <c r="O1" s="55"/>
      <c r="Q1" s="55"/>
      <c r="R1" s="55"/>
      <c r="S1" s="55"/>
      <c r="T1" s="55"/>
      <c r="U1" s="55"/>
      <c r="V1" s="55"/>
    </row>
    <row r="2" spans="2:22" ht="15.75" thickBot="1">
      <c r="B2" s="35" t="s">
        <v>196</v>
      </c>
      <c r="C2" s="35" t="s">
        <v>197</v>
      </c>
      <c r="D2" s="56"/>
      <c r="E2" s="56"/>
      <c r="F2" s="56"/>
      <c r="G2" s="56"/>
      <c r="H2" s="56"/>
      <c r="J2" s="55"/>
      <c r="Q2" s="55"/>
    </row>
    <row r="3" spans="2:22">
      <c r="C3" s="59" t="s">
        <v>198</v>
      </c>
      <c r="D3" s="60" t="s">
        <v>199</v>
      </c>
      <c r="E3" s="10">
        <v>1</v>
      </c>
      <c r="F3" s="10">
        <v>100</v>
      </c>
      <c r="G3" s="61" cm="1">
        <f t="array" ref="G3">FrancescaData!$B$2/(_xlfn.XLOOKUP(F3,WeaponsSystems!$B$51:$B$81,WeaponsSystems!$C$51:$C$81*E3))</f>
        <v>5.1114373103575268</v>
      </c>
      <c r="H3" s="61">
        <f>G3+(INT(G3/$D$38)*WeaponData!C2)</f>
        <v>5.1114373103575268</v>
      </c>
      <c r="N3" s="18"/>
      <c r="O3" s="18"/>
      <c r="U3" s="18"/>
      <c r="V3" s="18"/>
    </row>
    <row r="4" spans="2:22">
      <c r="C4" s="60" t="s">
        <v>200</v>
      </c>
      <c r="D4" s="60" t="s">
        <v>199</v>
      </c>
      <c r="E4" s="10">
        <v>2</v>
      </c>
      <c r="F4" s="10">
        <v>100</v>
      </c>
      <c r="G4" s="61" cm="1">
        <f t="array" ref="G4">FrancescaData!$B$2/(_xlfn.XLOOKUP(F4,WeaponsSystems!$B$51:$B$81,WeaponsSystems!$C$51:$C$81*E4))</f>
        <v>2.5557186551787634</v>
      </c>
      <c r="H4" s="61">
        <f>G4+(INT(G4/$D$38)*WeaponData!C3)</f>
        <v>2.5557186551787634</v>
      </c>
      <c r="N4" s="18"/>
      <c r="O4" s="18"/>
      <c r="U4" s="18"/>
      <c r="V4" s="18"/>
    </row>
    <row r="5" spans="2:22">
      <c r="C5" s="60" t="s">
        <v>201</v>
      </c>
      <c r="D5" s="60" t="s">
        <v>199</v>
      </c>
      <c r="E5" s="10">
        <v>3</v>
      </c>
      <c r="F5" s="10">
        <v>100</v>
      </c>
      <c r="G5" s="61" cm="1">
        <f t="array" ref="G5">FrancescaData!$B$2/(_xlfn.XLOOKUP(F5,WeaponsSystems!$B$51:$B$81,WeaponsSystems!$C$51:$C$81*E5))</f>
        <v>1.7038124367858423</v>
      </c>
      <c r="H5" s="61">
        <f>G5+(INT(G5/$D$38)*WeaponData!C2)</f>
        <v>1.7038124367858423</v>
      </c>
      <c r="N5" s="18"/>
      <c r="O5" s="18"/>
      <c r="U5" s="18"/>
      <c r="V5" s="18"/>
    </row>
    <row r="6" spans="2:22">
      <c r="C6" s="57" t="s">
        <v>198</v>
      </c>
      <c r="D6" s="57" t="s">
        <v>202</v>
      </c>
      <c r="E6" s="10">
        <v>1</v>
      </c>
      <c r="F6" s="10">
        <v>100</v>
      </c>
      <c r="G6" s="58" cm="1">
        <f t="array" ref="G6">FrancescaData!$B$2/(_xlfn.XLOOKUP(F6,WeaponsSystems!$B$86:$B$116,WeaponsSystems!$C$86:$C$116*E6))</f>
        <v>2.0445749241430109</v>
      </c>
      <c r="H6" s="58">
        <f>G6+(INT(G6/$D$39)*WeaponData!C3)</f>
        <v>2.0445749241430109</v>
      </c>
      <c r="N6" s="18"/>
      <c r="O6" s="18"/>
      <c r="U6" s="18"/>
      <c r="V6" s="18"/>
    </row>
    <row r="7" spans="2:22">
      <c r="C7" s="57" t="s">
        <v>200</v>
      </c>
      <c r="D7" s="57" t="s">
        <v>202</v>
      </c>
      <c r="E7" s="10">
        <v>2</v>
      </c>
      <c r="F7" s="10">
        <v>100</v>
      </c>
      <c r="G7" s="58" cm="1">
        <f t="array" ref="G7">FrancescaData!$B$2/(_xlfn.XLOOKUP(F7,WeaponsSystems!$B$86:$B$116,WeaponsSystems!$C$86:$C$116*E7))</f>
        <v>1.0222874620715054</v>
      </c>
      <c r="H7" s="58">
        <f>G7+(INT(G7/$D$39)*WeaponData!C5)</f>
        <v>1.0222874620715054</v>
      </c>
      <c r="N7" s="18"/>
      <c r="O7" s="18"/>
      <c r="U7" s="18"/>
      <c r="V7" s="18"/>
    </row>
    <row r="8" spans="2:22" ht="15.75" thickBot="1">
      <c r="C8" s="57" t="s">
        <v>201</v>
      </c>
      <c r="D8" s="57" t="s">
        <v>202</v>
      </c>
      <c r="E8" s="10">
        <v>3</v>
      </c>
      <c r="F8" s="10">
        <v>100</v>
      </c>
      <c r="G8" s="58" cm="1">
        <f t="array" ref="G8">FrancescaData!$B$2/(_xlfn.XLOOKUP(F8,WeaponsSystems!$B$86:$B$116,WeaponsSystems!$C$86:$C$116*E8))</f>
        <v>0.68152497471433704</v>
      </c>
      <c r="H8" s="58">
        <f>G8+(INT(G8/$D$39)*WeaponData!C6)</f>
        <v>0.68152497471433704</v>
      </c>
      <c r="N8" s="18"/>
      <c r="O8" s="18"/>
      <c r="U8" s="18"/>
      <c r="V8" s="18"/>
    </row>
    <row r="9" spans="2:22" ht="15.75" thickBot="1">
      <c r="C9" s="35" t="s">
        <v>203</v>
      </c>
      <c r="D9" s="56"/>
      <c r="E9" s="56"/>
      <c r="F9" s="56"/>
      <c r="G9" s="56"/>
      <c r="H9" s="56"/>
      <c r="N9" s="18"/>
      <c r="O9" s="18"/>
      <c r="U9" s="18"/>
      <c r="V9" s="18"/>
    </row>
    <row r="10" spans="2:22">
      <c r="C10" s="59" t="s">
        <v>198</v>
      </c>
      <c r="D10" s="60" t="s">
        <v>199</v>
      </c>
      <c r="E10" s="10">
        <v>1</v>
      </c>
      <c r="F10" s="10">
        <v>750</v>
      </c>
      <c r="G10" s="61" cm="1">
        <f t="array" ref="G10">FrancescaData!$B$2/(_xlfn.XLOOKUP(F10,WeaponsSystems!$B$51:$B$81,WeaponsSystems!$C$51:$C$81*E10))</f>
        <v>8.3333333333333339</v>
      </c>
      <c r="H10" s="61">
        <f>G10+(INT(G10/$D$38)*WeaponData!$C$2)</f>
        <v>10.333333333333334</v>
      </c>
      <c r="N10" s="18"/>
      <c r="O10" s="18"/>
      <c r="U10" s="18"/>
      <c r="V10" s="18"/>
    </row>
    <row r="11" spans="2:22">
      <c r="C11" s="60" t="s">
        <v>200</v>
      </c>
      <c r="D11" s="60" t="s">
        <v>199</v>
      </c>
      <c r="E11" s="10">
        <v>2</v>
      </c>
      <c r="F11" s="10">
        <v>750</v>
      </c>
      <c r="G11" s="61" cm="1">
        <f t="array" ref="G11">FrancescaData!$B$2/(_xlfn.XLOOKUP(F11,WeaponsSystems!$B$51:$B$81,WeaponsSystems!$C$51:$C$81*E11))</f>
        <v>4.166666666666667</v>
      </c>
      <c r="H11" s="61">
        <f>G11+(INT(G11/$D$38)*WeaponData!$C$3)</f>
        <v>4.166666666666667</v>
      </c>
      <c r="N11" s="18"/>
      <c r="O11" s="18"/>
      <c r="U11" s="18"/>
      <c r="V11" s="18"/>
    </row>
    <row r="12" spans="2:22">
      <c r="C12" s="60" t="s">
        <v>201</v>
      </c>
      <c r="D12" s="60" t="s">
        <v>199</v>
      </c>
      <c r="E12" s="10">
        <v>3</v>
      </c>
      <c r="F12" s="10">
        <v>750</v>
      </c>
      <c r="G12" s="61" cm="1">
        <f t="array" ref="G12">FrancescaData!$B$2/(_xlfn.XLOOKUP(F12,WeaponsSystems!$B$51:$B$81,WeaponsSystems!$C$51:$C$81*E12))</f>
        <v>2.7777777777777777</v>
      </c>
      <c r="H12" s="61">
        <f>G12+(INT(G12/$D$38)*WeaponData!$C$2)</f>
        <v>2.7777777777777777</v>
      </c>
      <c r="N12" s="18"/>
      <c r="O12" s="18"/>
      <c r="U12" s="18"/>
      <c r="V12" s="18"/>
    </row>
    <row r="13" spans="2:22">
      <c r="C13" s="57" t="s">
        <v>198</v>
      </c>
      <c r="D13" s="57" t="s">
        <v>202</v>
      </c>
      <c r="E13" s="10">
        <v>1</v>
      </c>
      <c r="F13" s="10">
        <v>750</v>
      </c>
      <c r="G13" s="58" cm="1">
        <f t="array" ref="G13">FrancescaData!$B$2/(_xlfn.XLOOKUP(F13,WeaponsSystems!$B$86:$B$116,WeaponsSystems!$C$86:$C$116*E13))</f>
        <v>3.3333333333333335</v>
      </c>
      <c r="H13" s="58">
        <f>G13+(INT(G13/$D$39)*WeaponData!$C$3)</f>
        <v>3.3333333333333335</v>
      </c>
      <c r="N13" s="18"/>
      <c r="O13" s="18"/>
      <c r="U13" s="18"/>
      <c r="V13" s="18"/>
    </row>
    <row r="14" spans="2:22">
      <c r="C14" s="57" t="s">
        <v>200</v>
      </c>
      <c r="D14" s="57" t="s">
        <v>202</v>
      </c>
      <c r="E14" s="10">
        <v>2</v>
      </c>
      <c r="F14" s="10">
        <v>750</v>
      </c>
      <c r="G14" s="58" cm="1">
        <f t="array" ref="G14">FrancescaData!$B$2/(_xlfn.XLOOKUP(F14,WeaponsSystems!$B$86:$B$116,WeaponsSystems!$C$86:$C$116*E14))</f>
        <v>1.6666666666666667</v>
      </c>
      <c r="H14" s="58">
        <f>G14+(INT(G14/$D$39)*WeaponData!$C$5)</f>
        <v>1.6666666666666667</v>
      </c>
      <c r="N14" s="18"/>
      <c r="O14" s="18"/>
      <c r="U14" s="18"/>
      <c r="V14" s="18"/>
    </row>
    <row r="15" spans="2:22" ht="15.75" thickBot="1">
      <c r="C15" s="57" t="s">
        <v>201</v>
      </c>
      <c r="D15" s="57" t="s">
        <v>202</v>
      </c>
      <c r="E15" s="10">
        <v>3</v>
      </c>
      <c r="F15" s="10">
        <v>750</v>
      </c>
      <c r="G15" s="58" cm="1">
        <f t="array" ref="G15">FrancescaData!$B$2/(_xlfn.XLOOKUP(F15,WeaponsSystems!$B$86:$B$116,WeaponsSystems!$C$86:$C$116*E15))</f>
        <v>1.1111111111111112</v>
      </c>
      <c r="H15" s="58">
        <f>G15+(INT(G15/$D$39)*WeaponData!$C$6)</f>
        <v>1.1111111111111112</v>
      </c>
      <c r="N15" s="18"/>
      <c r="O15" s="18"/>
      <c r="U15" s="18"/>
      <c r="V15" s="18"/>
    </row>
    <row r="16" spans="2:22" ht="15.75" thickBot="1">
      <c r="C16" s="35" t="s">
        <v>204</v>
      </c>
      <c r="D16" s="56"/>
      <c r="E16" s="56"/>
      <c r="F16" s="56"/>
      <c r="G16" s="56"/>
      <c r="H16" s="56"/>
      <c r="N16" s="18"/>
      <c r="O16" s="18"/>
      <c r="U16" s="18"/>
      <c r="V16" s="18"/>
    </row>
    <row r="17" spans="2:22">
      <c r="C17" s="59" t="s">
        <v>198</v>
      </c>
      <c r="D17" s="60" t="s">
        <v>199</v>
      </c>
      <c r="E17" s="10">
        <v>1</v>
      </c>
      <c r="F17" s="10">
        <v>1500</v>
      </c>
      <c r="G17" s="61" cm="1">
        <f t="array" ref="G17">FrancescaData!$B$2/(_xlfn.XLOOKUP(F17,WeaponsSystems!$B$51:$B$81,WeaponsSystems!$C$51:$C$81*E17))</f>
        <v>24.488664375568668</v>
      </c>
      <c r="H17" s="61">
        <f>G17+(INT(G17/$D$38)*WeaponData!$C$2)</f>
        <v>32.488664375568668</v>
      </c>
      <c r="N17" s="18"/>
      <c r="O17" s="18"/>
      <c r="U17" s="18"/>
      <c r="V17" s="18"/>
    </row>
    <row r="18" spans="2:22">
      <c r="C18" s="60" t="s">
        <v>200</v>
      </c>
      <c r="D18" s="60" t="s">
        <v>199</v>
      </c>
      <c r="E18" s="10">
        <v>2</v>
      </c>
      <c r="F18" s="10">
        <v>1500</v>
      </c>
      <c r="G18" s="61" cm="1">
        <f t="array" ref="G18">FrancescaData!$B$2/(_xlfn.XLOOKUP(F18,WeaponsSystems!$B$51:$B$81,WeaponsSystems!$C$51:$C$81*E18))</f>
        <v>12.244332187784334</v>
      </c>
      <c r="H18" s="61">
        <f>G18+(INT(G18/$D$38)*WeaponData!$C$3)</f>
        <v>16.244332187784334</v>
      </c>
      <c r="N18" s="18"/>
      <c r="O18" s="18"/>
      <c r="U18" s="18"/>
      <c r="V18" s="18"/>
    </row>
    <row r="19" spans="2:22">
      <c r="C19" s="60" t="s">
        <v>201</v>
      </c>
      <c r="D19" s="60" t="s">
        <v>199</v>
      </c>
      <c r="E19" s="10">
        <v>3</v>
      </c>
      <c r="F19" s="10">
        <v>1500</v>
      </c>
      <c r="G19" s="61" cm="1">
        <f t="array" ref="G19">FrancescaData!$B$2/(_xlfn.XLOOKUP(F19,WeaponsSystems!$B$51:$B$81,WeaponsSystems!$C$51:$C$81*E19))</f>
        <v>8.1628881251895553</v>
      </c>
      <c r="H19" s="61">
        <f>G19+(INT(G19/$D$38)*WeaponData!$C$2)</f>
        <v>10.162888125189555</v>
      </c>
      <c r="N19" s="18"/>
      <c r="O19" s="18"/>
      <c r="U19" s="18"/>
      <c r="V19" s="18"/>
    </row>
    <row r="20" spans="2:22">
      <c r="C20" s="57" t="s">
        <v>198</v>
      </c>
      <c r="D20" s="57" t="s">
        <v>202</v>
      </c>
      <c r="E20" s="10">
        <v>1</v>
      </c>
      <c r="F20" s="10">
        <v>1500</v>
      </c>
      <c r="G20" s="58" cm="1">
        <f t="array" ref="G20">FrancescaData!$B$2/(_xlfn.XLOOKUP(F20,WeaponsSystems!$B$86:$B$116,WeaponsSystems!$C$86:$C$116*E20))</f>
        <v>9.7954657502274678</v>
      </c>
      <c r="H20" s="58">
        <f>G20+(INT(G20/$D$39)*WeaponData!$C$3)</f>
        <v>11.795465750227468</v>
      </c>
      <c r="N20" s="18"/>
      <c r="O20" s="18"/>
      <c r="U20" s="18"/>
      <c r="V20" s="18"/>
    </row>
    <row r="21" spans="2:22">
      <c r="C21" s="57" t="s">
        <v>200</v>
      </c>
      <c r="D21" s="57" t="s">
        <v>202</v>
      </c>
      <c r="E21" s="10">
        <v>2</v>
      </c>
      <c r="F21" s="10">
        <v>1500</v>
      </c>
      <c r="G21" s="58" cm="1">
        <f t="array" ref="G21">FrancescaData!$B$2/(_xlfn.XLOOKUP(F21,WeaponsSystems!$B$86:$B$116,WeaponsSystems!$C$86:$C$116*E21))</f>
        <v>4.8977328751137339</v>
      </c>
      <c r="H21" s="58">
        <f>G21+(INT(G21/$D$39)*WeaponData!$C$5)</f>
        <v>4.8977328751137339</v>
      </c>
      <c r="N21" s="18"/>
      <c r="O21" s="18"/>
      <c r="U21" s="18"/>
      <c r="V21" s="18"/>
    </row>
    <row r="22" spans="2:22" ht="15.75" thickBot="1">
      <c r="C22" s="57" t="s">
        <v>201</v>
      </c>
      <c r="D22" s="57" t="s">
        <v>202</v>
      </c>
      <c r="E22" s="10">
        <v>3</v>
      </c>
      <c r="F22" s="10">
        <v>1500</v>
      </c>
      <c r="G22" s="58" cm="1">
        <f t="array" ref="G22">FrancescaData!$B$2/(_xlfn.XLOOKUP(F22,WeaponsSystems!$B$86:$B$116,WeaponsSystems!$C$86:$C$116*E22))</f>
        <v>3.2651552500758227</v>
      </c>
      <c r="H22" s="58">
        <f>G22+(INT(G22/$D$39)*WeaponData!$C$6)</f>
        <v>3.2651552500758227</v>
      </c>
      <c r="N22" s="18"/>
      <c r="O22" s="18"/>
      <c r="U22" s="18"/>
      <c r="V22" s="18"/>
    </row>
    <row r="23" spans="2:22" ht="15.75" thickBot="1">
      <c r="B23" s="35" t="s">
        <v>205</v>
      </c>
      <c r="C23" s="56"/>
      <c r="D23" s="56"/>
      <c r="E23" s="56"/>
      <c r="F23" s="56"/>
      <c r="G23" s="62"/>
      <c r="H23" s="56"/>
    </row>
    <row r="24" spans="2:22">
      <c r="C24" s="60" t="s">
        <v>198</v>
      </c>
      <c r="D24" s="60" t="s">
        <v>199</v>
      </c>
      <c r="E24" s="10">
        <v>1</v>
      </c>
      <c r="F24" s="10">
        <v>750</v>
      </c>
      <c r="G24" s="61" cm="1">
        <f t="array" ref="G24">UmbrellaData!$O$2/(_xlfn.XLOOKUP(F24,WeaponsSystems!$B$51:$B$81,WeaponsSystems!$C$51:$C$81*E24))</f>
        <v>8.3333333333333339</v>
      </c>
      <c r="H24" s="61">
        <f>G24+(INT(G24/$D$38)*WeaponData!C2)</f>
        <v>10.333333333333334</v>
      </c>
    </row>
    <row r="25" spans="2:22">
      <c r="C25" s="60" t="s">
        <v>200</v>
      </c>
      <c r="D25" s="60" t="s">
        <v>199</v>
      </c>
      <c r="E25" s="10">
        <v>2</v>
      </c>
      <c r="F25" s="10">
        <v>750</v>
      </c>
      <c r="G25" s="61" cm="1">
        <f t="array" ref="G25">UmbrellaData!$O$2/(_xlfn.XLOOKUP(F25,WeaponsSystems!$B$51:$B$81,WeaponsSystems!$C$51:$C$81*E25))</f>
        <v>4.166666666666667</v>
      </c>
      <c r="H25" s="61">
        <f>G25+(INT(G25/$D$38)*WeaponData!C3)</f>
        <v>4.166666666666667</v>
      </c>
    </row>
    <row r="26" spans="2:22">
      <c r="C26" s="60" t="s">
        <v>201</v>
      </c>
      <c r="D26" s="60" t="s">
        <v>199</v>
      </c>
      <c r="E26" s="10">
        <v>3</v>
      </c>
      <c r="F26" s="10">
        <v>750</v>
      </c>
      <c r="G26" s="61" cm="1">
        <f t="array" ref="G26">UmbrellaData!$O$2/(_xlfn.XLOOKUP(F26,WeaponsSystems!$B$51:$B$81,WeaponsSystems!$C$51:$C$81*E26))</f>
        <v>2.7777777777777777</v>
      </c>
      <c r="H26" s="61">
        <f>G26+(INT(G26/$D$38)*WeaponData!C2)</f>
        <v>2.7777777777777777</v>
      </c>
    </row>
    <row r="27" spans="2:22">
      <c r="C27" s="57" t="s">
        <v>198</v>
      </c>
      <c r="D27" s="57" t="s">
        <v>202</v>
      </c>
      <c r="E27" s="10">
        <v>1</v>
      </c>
      <c r="F27" s="10">
        <v>750</v>
      </c>
      <c r="G27" s="58" cm="1">
        <f t="array" ref="G27">UmbrellaData!$O$2/(_xlfn.XLOOKUP(F27,WeaponsSystems!$B$86:$B$116,WeaponsSystems!$C$86:$C$116*E27))</f>
        <v>3.3333333333333335</v>
      </c>
      <c r="H27" s="58">
        <f>G27+(INT(G27/$D$39)*WeaponData!C3)</f>
        <v>3.3333333333333335</v>
      </c>
    </row>
    <row r="28" spans="2:22">
      <c r="C28" s="57" t="s">
        <v>200</v>
      </c>
      <c r="D28" s="57" t="s">
        <v>202</v>
      </c>
      <c r="E28" s="10">
        <v>2</v>
      </c>
      <c r="F28" s="10">
        <v>750</v>
      </c>
      <c r="G28" s="58" cm="1">
        <f t="array" ref="G28">UmbrellaData!$O$2/(_xlfn.XLOOKUP(F28,WeaponsSystems!$B$86:$B$116,WeaponsSystems!$C$86:$C$116*E28))</f>
        <v>1.6666666666666667</v>
      </c>
      <c r="H28" s="58">
        <f>G28+(INT(G28/$D$39)*WeaponData!C5)</f>
        <v>1.6666666666666667</v>
      </c>
    </row>
    <row r="29" spans="2:22" ht="15.75" thickBot="1">
      <c r="C29" s="57" t="s">
        <v>201</v>
      </c>
      <c r="D29" s="57" t="s">
        <v>202</v>
      </c>
      <c r="E29" s="10">
        <v>3</v>
      </c>
      <c r="F29" s="10">
        <v>750</v>
      </c>
      <c r="G29" s="58" cm="1">
        <f t="array" ref="G29">UmbrellaData!$O$2/(_xlfn.XLOOKUP(F29,WeaponsSystems!$B$86:$B$116,WeaponsSystems!$C$86:$C$116*E29))</f>
        <v>1.1111111111111112</v>
      </c>
      <c r="H29" s="58">
        <f>G29+(INT(G29/$D$39)*WeaponData!C6)</f>
        <v>1.1111111111111112</v>
      </c>
    </row>
    <row r="30" spans="2:22" ht="15.75" thickBot="1">
      <c r="B30" s="35" t="s">
        <v>206</v>
      </c>
      <c r="C30" s="56"/>
      <c r="D30" s="56"/>
      <c r="E30" s="56"/>
      <c r="F30" s="56"/>
      <c r="G30" s="62"/>
      <c r="H30" s="56"/>
    </row>
    <row r="31" spans="2:22">
      <c r="C31" s="64" t="s">
        <v>198</v>
      </c>
      <c r="D31" s="64" t="s">
        <v>207</v>
      </c>
      <c r="E31" s="10">
        <v>1</v>
      </c>
      <c r="F31" s="32">
        <v>350</v>
      </c>
      <c r="G31" s="65">
        <f>(AgencyShieldData!$B$2/WeaponsSystems!B38)*E31</f>
        <v>5.7142857142857144</v>
      </c>
      <c r="H31" s="63"/>
    </row>
    <row r="32" spans="2:22">
      <c r="C32" s="64" t="s">
        <v>200</v>
      </c>
      <c r="D32" s="64" t="s">
        <v>207</v>
      </c>
      <c r="E32" s="10">
        <v>2</v>
      </c>
      <c r="F32" s="32">
        <v>350</v>
      </c>
      <c r="G32" s="65">
        <f>(AgencyShieldData!$B$2/WeaponsSystems!B39)*E32</f>
        <v>10</v>
      </c>
      <c r="H32" s="63"/>
    </row>
    <row r="33" spans="2:8">
      <c r="C33" s="64" t="s">
        <v>201</v>
      </c>
      <c r="D33" s="64" t="s">
        <v>207</v>
      </c>
      <c r="E33" s="10">
        <v>3</v>
      </c>
      <c r="F33" s="32">
        <v>350</v>
      </c>
      <c r="G33" s="65">
        <f>(AgencyShieldData!$B$2/WeaponsSystems!B40)*E33</f>
        <v>13.333333333333334</v>
      </c>
      <c r="H33" s="63"/>
    </row>
    <row r="34" spans="2:8" ht="15.75" thickBot="1">
      <c r="C34" s="56"/>
      <c r="D34" s="56"/>
      <c r="E34" s="56"/>
      <c r="F34" s="56"/>
      <c r="G34" s="56"/>
      <c r="H34" s="56"/>
    </row>
    <row r="35" spans="2:8" ht="15.75" thickBot="1">
      <c r="C35" s="35" t="s">
        <v>208</v>
      </c>
      <c r="D35" s="35" t="s">
        <v>209</v>
      </c>
    </row>
    <row r="36" spans="2:8" ht="15.75" thickBot="1">
      <c r="B36" s="35" t="s">
        <v>210</v>
      </c>
      <c r="C36" s="56"/>
      <c r="D36" s="56"/>
    </row>
    <row r="37" spans="2:8">
      <c r="C37" s="32" t="s">
        <v>211</v>
      </c>
      <c r="D37" s="32">
        <f>UmbrellaData!B2*UmbrellaData!D2</f>
        <v>12</v>
      </c>
    </row>
    <row r="38" spans="2:8">
      <c r="C38" s="32" t="s">
        <v>199</v>
      </c>
      <c r="D38" s="32">
        <f>WeaponData!B2*WeaponData!D2</f>
        <v>6</v>
      </c>
    </row>
    <row r="39" spans="2:8">
      <c r="C39" s="32" t="s">
        <v>212</v>
      </c>
      <c r="D39" s="32">
        <f>WeaponData!B3*WeaponData!D3</f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2025-05-04T16:50:56Z</dcterms:created>
  <dcterms:modified xsi:type="dcterms:W3CDTF">2025-11-18T16:22:45Z</dcterms:modified>
  <cp:category/>
  <cp:contentStatus/>
</cp:coreProperties>
</file>